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грудень" sheetId="1" r:id="rId1"/>
    <sheet name="листопад" sheetId="2" r:id="rId2"/>
    <sheet name="жовтень" sheetId="3" r:id="rId3"/>
    <sheet name="вересень" sheetId="4" r:id="rId4"/>
    <sheet name="серпень" sheetId="5" r:id="rId5"/>
    <sheet name="липень" sheetId="6" r:id="rId6"/>
    <sheet name="червень" sheetId="7" r:id="rId7"/>
    <sheet name="травень" sheetId="8" r:id="rId8"/>
    <sheet name="квітень" sheetId="9" r:id="rId9"/>
    <sheet name="березень" sheetId="10" r:id="rId10"/>
    <sheet name="лютий" sheetId="11" r:id="rId11"/>
    <sheet name="січень 17" sheetId="12" r:id="rId12"/>
    <sheet name="грудень-2016" sheetId="13" r:id="rId13"/>
  </sheets>
  <externalReferences>
    <externalReference r:id="rId16"/>
  </externalReferences>
  <definedNames>
    <definedName name="_xlnm.Print_Titles" localSheetId="3">'вересень'!$3:$6</definedName>
    <definedName name="_xlnm.Print_Titles" localSheetId="2">'жовтень'!$3:$5</definedName>
  </definedNames>
  <calcPr fullCalcOnLoad="1"/>
</workbook>
</file>

<file path=xl/sharedStrings.xml><?xml version="1.0" encoding="utf-8"?>
<sst xmlns="http://schemas.openxmlformats.org/spreadsheetml/2006/main" count="2101" uniqueCount="288">
  <si>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</si>
  <si>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</si>
  <si>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</si>
  <si>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</si>
  <si>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</si>
  <si>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</si>
  <si>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</si>
  <si>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</si>
  <si>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</si>
  <si>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</si>
  <si>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</si>
  <si>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</si>
  <si>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</si>
  <si>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</si>
  <si>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</si>
  <si>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</si>
  <si>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</si>
  <si>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</si>
  <si>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</si>
  <si>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</si>
  <si>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</si>
  <si>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</si>
  <si>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</si>
  <si>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</si>
  <si>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</si>
  <si>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</si>
  <si>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</si>
  <si>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</si>
  <si>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</si>
  <si>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</si>
  <si>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</si>
  <si>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</si>
  <si>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</si>
  <si>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</si>
  <si>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</si>
  <si>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</si>
  <si>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</si>
  <si>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</si>
  <si>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</si>
  <si>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</si>
  <si>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</si>
  <si>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</si>
  <si>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</si>
  <si>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</si>
  <si>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</si>
  <si>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</si>
  <si>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</si>
  <si>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</si>
  <si>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</si>
  <si>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</si>
  <si>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</si>
  <si>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</si>
  <si>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</si>
  <si>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</si>
  <si>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</si>
  <si>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</si>
  <si>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</si>
  <si>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</si>
  <si>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</si>
  <si>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</si>
  <si>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</si>
  <si>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</si>
  <si>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</si>
  <si>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</si>
  <si>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</si>
  <si>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</si>
  <si>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</si>
  <si>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</si>
  <si>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</si>
  <si>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</si>
  <si>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</si>
  <si>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</si>
  <si>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</si>
  <si>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</si>
  <si>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</si>
  <si>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</si>
  <si>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</si>
  <si>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</si>
  <si>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</si>
  <si>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</si>
  <si>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</si>
  <si>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</si>
  <si>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</si>
  <si>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</si>
  <si>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</si>
  <si>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</si>
  <si>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</si>
  <si>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</si>
  <si>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</si>
  <si>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</si>
  <si>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</si>
  <si>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</si>
  <si>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</si>
  <si>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</si>
  <si>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</si>
  <si>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</si>
  <si>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</si>
  <si>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</si>
  <si>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</si>
  <si>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</si>
  <si>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</si>
  <si>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</si>
  <si>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</si>
  <si>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</si>
  <si>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</si>
  <si>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</si>
  <si>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</si>
  <si>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</si>
  <si>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</si>
  <si>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</si>
  <si>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</si>
  <si>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</si>
  <si>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</si>
  <si>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</si>
  <si>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</si>
  <si>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</si>
  <si>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</si>
  <si>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</si>
  <si>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</si>
  <si>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</si>
  <si>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</si>
  <si>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</si>
  <si>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</si>
  <si>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</si>
  <si>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</si>
  <si>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</si>
  <si>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</si>
  <si>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</si>
  <si>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</si>
  <si>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</si>
  <si>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</si>
  <si>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</si>
  <si>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</si>
  <si>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</si>
  <si>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</si>
  <si>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</si>
  <si>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</si>
  <si>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</si>
  <si>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</si>
  <si>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</si>
  <si>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</si>
  <si>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</si>
  <si>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</si>
  <si>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</si>
  <si>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</si>
  <si>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</si>
  <si>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</si>
  <si>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</si>
  <si>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</si>
  <si>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</si>
  <si>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</si>
  <si>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</si>
  <si>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</si>
  <si>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</si>
  <si>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</si>
  <si>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</si>
  <si>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</si>
  <si>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</si>
  <si>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</si>
  <si>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</si>
  <si>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</si>
  <si>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</si>
  <si>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</si>
  <si>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</si>
  <si>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</si>
  <si>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</si>
  <si>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</si>
  <si>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</si>
  <si>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</si>
  <si>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</si>
  <si>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</si>
  <si>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</si>
  <si>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</si>
  <si>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</si>
  <si>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</si>
  <si>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</si>
  <si>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</si>
  <si>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</si>
  <si>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</si>
  <si>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</si>
  <si>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</si>
  <si>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</si>
  <si>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</si>
  <si>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</si>
  <si>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</si>
  <si>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</si>
  <si>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</si>
  <si>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</si>
  <si>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</si>
  <si>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</si>
  <si>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</si>
  <si>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</si>
  <si>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</si>
  <si>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</si>
  <si>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</si>
  <si>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</si>
  <si>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</si>
  <si>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</si>
  <si>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</si>
  <si>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</si>
  <si>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</si>
  <si>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</si>
  <si>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</si>
  <si>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</si>
  <si>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</si>
  <si>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</si>
  <si>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</si>
  <si>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</si>
  <si>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</si>
  <si>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</si>
  <si>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</si>
  <si>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</si>
  <si>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</si>
  <si>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</si>
  <si>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</si>
  <si>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</si>
  <si>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</si>
  <si>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</si>
  <si>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</si>
  <si>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</si>
  <si>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</si>
  <si>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</si>
  <si>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</si>
  <si>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</si>
  <si>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</si>
  <si>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</si>
  <si>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</si>
  <si>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</si>
  <si>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</si>
  <si>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</si>
  <si>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</si>
  <si>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</si>
  <si>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</si>
  <si>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</si>
  <si>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</si>
  <si>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</si>
  <si>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</si>
  <si>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</si>
  <si>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</si>
  <si>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</si>
  <si>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</si>
  <si>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</si>
  <si>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</si>
  <si>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</si>
  <si>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</si>
  <si>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</si>
  <si>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</si>
  <si>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</si>
  <si>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</si>
  <si>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</si>
  <si>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</si>
  <si>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</si>
  <si>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</si>
  <si>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</si>
  <si>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</si>
  <si>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</si>
  <si>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</si>
  <si>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</si>
  <si>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</si>
  <si>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</si>
  <si>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</si>
  <si>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</si>
  <si>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</si>
  <si>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</si>
  <si>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</si>
  <si>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</si>
  <si>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</si>
  <si>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</si>
  <si>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</si>
  <si>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</si>
  <si>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</si>
  <si>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</si>
  <si>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</si>
  <si>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</si>
  <si>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</si>
  <si>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</si>
  <si>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</si>
  <si>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</si>
  <si>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</si>
  <si>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</si>
  <si>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</si>
  <si>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Відхилення (+,-) до  плану на січень-грудень 2017 року</t>
  </si>
  <si>
    <t>% виконання  плану на січень-грудень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</si>
  <si>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</si>
  <si>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t>інші надходження (24060000)</t>
  </si>
  <si>
    <t>ВСІ інші  податки і збори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</si>
  <si>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22.12.2017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</si>
  <si>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21.12.17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</si>
</sst>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7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i/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6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69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25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486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6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6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8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6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8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9" fillId="0" borderId="0" xfId="55" applyNumberFormat="1" applyFont="1" applyProtection="1">
      <alignment/>
      <protection/>
    </xf>
    <xf numFmtId="182" fontId="88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Fill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90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9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91" fillId="0" borderId="0" xfId="0" applyNumberFormat="1" applyFont="1" applyAlignment="1" applyProtection="1">
      <alignment/>
      <protection/>
    </xf>
    <xf numFmtId="4" fontId="91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92" fillId="39" borderId="10" xfId="0" applyNumberFormat="1" applyFont="1" applyFill="1" applyBorder="1" applyAlignment="1">
      <alignment/>
    </xf>
    <xf numFmtId="182" fontId="92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9" fillId="0" borderId="0" xfId="55" applyFont="1" applyAlignment="1" applyProtection="1">
      <alignment horizontal="center"/>
      <protection/>
    </xf>
    <xf numFmtId="0" fontId="89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9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9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94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3" fillId="40" borderId="10" xfId="0" applyNumberFormat="1" applyFont="1" applyFill="1" applyBorder="1" applyAlignment="1" applyProtection="1">
      <alignment horizontal="right"/>
      <protection/>
    </xf>
    <xf numFmtId="182" fontId="87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5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9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37" fillId="37" borderId="10" xfId="55" applyFont="1" applyFill="1" applyBorder="1" applyAlignment="1" applyProtection="1">
      <alignment horizontal="right" vertical="center" wrapText="1"/>
      <protection/>
    </xf>
    <xf numFmtId="182" fontId="18" fillId="37" borderId="10" xfId="0" applyNumberFormat="1" applyFont="1" applyFill="1" applyBorder="1" applyAlignment="1" applyProtection="1">
      <alignment horizontal="right"/>
      <protection locked="0"/>
    </xf>
    <xf numFmtId="0" fontId="18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8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7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42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 horizontal="right"/>
      <protection/>
    </xf>
    <xf numFmtId="182" fontId="96" fillId="37" borderId="10" xfId="0" applyNumberFormat="1" applyFont="1" applyFill="1" applyBorder="1" applyAlignment="1" applyProtection="1">
      <alignment horizontal="right"/>
      <protection/>
    </xf>
    <xf numFmtId="191" fontId="18" fillId="37" borderId="10" xfId="0" applyNumberFormat="1" applyFont="1" applyFill="1" applyBorder="1" applyAlignment="1" applyProtection="1">
      <alignment horizontal="right"/>
      <protection locked="0"/>
    </xf>
    <xf numFmtId="182" fontId="18" fillId="37" borderId="10" xfId="0" applyNumberFormat="1" applyFont="1" applyFill="1" applyBorder="1" applyAlignment="1" applyProtection="1">
      <alignment/>
      <protection/>
    </xf>
    <xf numFmtId="191" fontId="18" fillId="37" borderId="10" xfId="0" applyNumberFormat="1" applyFont="1" applyFill="1" applyBorder="1" applyAlignment="1" applyProtection="1">
      <alignment/>
      <protection/>
    </xf>
    <xf numFmtId="182" fontId="18" fillId="40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Fill="1" applyBorder="1" applyAlignment="1" applyProtection="1">
      <alignment/>
      <protection/>
    </xf>
    <xf numFmtId="191" fontId="45" fillId="0" borderId="10" xfId="0" applyNumberFormat="1" applyFont="1" applyBorder="1" applyAlignment="1" applyProtection="1">
      <alignment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0" fontId="6" fillId="0" borderId="14" xfId="0" applyFont="1" applyFill="1" applyBorder="1" applyAlignment="1">
      <alignment horizontal="right" wrapText="1"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Protection="1">
      <alignment/>
      <protection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182" fontId="6" fillId="37" borderId="0" xfId="55" applyNumberFormat="1" applyFont="1" applyFill="1" applyAlignment="1" applyProtection="1">
      <alignment horizontal="center"/>
      <protection/>
    </xf>
    <xf numFmtId="183" fontId="6" fillId="0" borderId="0" xfId="55" applyNumberFormat="1" applyFont="1" applyAlignment="1" applyProtection="1">
      <alignment horizontal="center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0" borderId="10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191" fontId="7" fillId="0" borderId="10" xfId="0" applyNumberFormat="1" applyFont="1" applyFill="1" applyBorder="1" applyAlignment="1">
      <alignment horizontal="right" wrapText="1"/>
    </xf>
    <xf numFmtId="182" fontId="7" fillId="37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191" fontId="7" fillId="0" borderId="0" xfId="55" applyNumberFormat="1" applyFont="1" applyFill="1" applyProtection="1">
      <alignment/>
      <protection/>
    </xf>
    <xf numFmtId="0" fontId="89" fillId="0" borderId="10" xfId="55" applyFont="1" applyFill="1" applyBorder="1" applyAlignment="1" applyProtection="1">
      <alignment horizontal="right" vertical="center" wrapText="1"/>
      <protection/>
    </xf>
    <xf numFmtId="0" fontId="6" fillId="0" borderId="0" xfId="55" applyFo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5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68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09" sqref="D10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286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123</v>
      </c>
      <c r="U3" s="473" t="s">
        <v>125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127</v>
      </c>
      <c r="F4" s="456" t="s">
        <v>33</v>
      </c>
      <c r="G4" s="445" t="s">
        <v>281</v>
      </c>
      <c r="H4" s="458" t="s">
        <v>282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287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283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1294181.1</v>
      </c>
      <c r="F8" s="151">
        <f>F9+F15+F18+F19+F23+F17</f>
        <v>1273177.65</v>
      </c>
      <c r="G8" s="151">
        <f>F8-E8</f>
        <v>-21003.450000000186</v>
      </c>
      <c r="H8" s="377">
        <f aca="true" t="shared" si="0" ref="H8:H15">F8/E8</f>
        <v>0.9837708571080197</v>
      </c>
      <c r="I8" s="153">
        <f aca="true" t="shared" si="1" ref="I8:I52">F8-D8</f>
        <v>-21003.450000000186</v>
      </c>
      <c r="J8" s="219">
        <f aca="true" t="shared" si="2" ref="J8:J14">F8/D8</f>
        <v>0.9837708571080197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f aca="true" t="shared" si="5" ref="Q8:Q51">N8</f>
        <v>984796</v>
      </c>
      <c r="R8" s="151">
        <f aca="true" t="shared" si="6" ref="R8:R78">F8-Q8</f>
        <v>288381.6499999999</v>
      </c>
      <c r="S8" s="205">
        <f aca="true" t="shared" si="7" ref="S8:S20">F8/Q8</f>
        <v>1.292833896563349</v>
      </c>
      <c r="T8" s="151">
        <f>T9+T15+T18+T19+T23+T17</f>
        <v>111615.5</v>
      </c>
      <c r="U8" s="151">
        <f>U9+U15+U18+U19+U23+U17</f>
        <v>66985.16</v>
      </c>
      <c r="V8" s="151">
        <f>U8-T8</f>
        <v>-44630.34</v>
      </c>
      <c r="W8" s="205">
        <f aca="true" t="shared" si="8" ref="W8:W15">U8/T8</f>
        <v>0.6001420949599294</v>
      </c>
      <c r="X8" s="365">
        <f aca="true" t="shared" si="9" ref="X8:X22">S8-P8</f>
        <v>-0.021327716603235736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f aca="true" t="shared" si="10" ref="E9:E22">D9</f>
        <v>766645</v>
      </c>
      <c r="F9" s="156">
        <v>737676.45</v>
      </c>
      <c r="G9" s="150">
        <f>F9-E9</f>
        <v>-28968.550000000047</v>
      </c>
      <c r="H9" s="375">
        <f t="shared" si="0"/>
        <v>0.9622138669136301</v>
      </c>
      <c r="I9" s="158">
        <f t="shared" si="1"/>
        <v>-28968.550000000047</v>
      </c>
      <c r="J9" s="210">
        <f t="shared" si="2"/>
        <v>0.9622138669136301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f t="shared" si="5"/>
        <v>541908.6</v>
      </c>
      <c r="R9" s="159">
        <f t="shared" si="6"/>
        <v>195767.84999999998</v>
      </c>
      <c r="S9" s="206">
        <f t="shared" si="7"/>
        <v>1.361256215531549</v>
      </c>
      <c r="T9" s="157">
        <f>E9-листопад!E9</f>
        <v>80979</v>
      </c>
      <c r="U9" s="160">
        <f>F9-листопад!F9</f>
        <v>48235.26000000001</v>
      </c>
      <c r="V9" s="161">
        <f>U9-T9</f>
        <v>-32743.73999999999</v>
      </c>
      <c r="W9" s="210">
        <f t="shared" si="8"/>
        <v>0.5956514651946803</v>
      </c>
      <c r="X9" s="366">
        <f t="shared" si="9"/>
        <v>-0.053456523849224835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f t="shared" si="10"/>
        <v>705817</v>
      </c>
      <c r="F10" s="140">
        <v>675702.15</v>
      </c>
      <c r="G10" s="103">
        <f aca="true" t="shared" si="11" ref="G10:G47">F10-E10</f>
        <v>-30114.849999999977</v>
      </c>
      <c r="H10" s="376">
        <f t="shared" si="0"/>
        <v>0.9573333456122479</v>
      </c>
      <c r="I10" s="104">
        <f t="shared" si="1"/>
        <v>-30114.849999999977</v>
      </c>
      <c r="J10" s="109">
        <f t="shared" si="2"/>
        <v>0.9573333456122479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f t="shared" si="5"/>
        <v>476189.93</v>
      </c>
      <c r="R10" s="106">
        <f t="shared" si="6"/>
        <v>199512.22000000003</v>
      </c>
      <c r="S10" s="207">
        <f t="shared" si="7"/>
        <v>1.4189761425656355</v>
      </c>
      <c r="T10" s="105">
        <f>E10-листопад!E10</f>
        <v>79503</v>
      </c>
      <c r="U10" s="144">
        <f>F10-листопад!F10</f>
        <v>44064.79000000004</v>
      </c>
      <c r="V10" s="106">
        <f aca="true" t="shared" si="12" ref="V10:V52">U10-T10</f>
        <v>-35438.20999999996</v>
      </c>
      <c r="W10" s="109">
        <f t="shared" si="8"/>
        <v>0.5542531728362456</v>
      </c>
      <c r="X10" s="364">
        <f t="shared" si="9"/>
        <v>-0.06324125753772236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f t="shared" si="10"/>
        <v>42006</v>
      </c>
      <c r="F11" s="140">
        <v>39209.09</v>
      </c>
      <c r="G11" s="103">
        <f t="shared" si="11"/>
        <v>-2796.9100000000035</v>
      </c>
      <c r="H11" s="376">
        <f t="shared" si="0"/>
        <v>0.9334164167023757</v>
      </c>
      <c r="I11" s="104">
        <f t="shared" si="1"/>
        <v>-2796.9100000000035</v>
      </c>
      <c r="J11" s="109">
        <f t="shared" si="2"/>
        <v>0.9334164167023757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f t="shared" si="5"/>
        <v>42401.33</v>
      </c>
      <c r="R11" s="106">
        <f t="shared" si="6"/>
        <v>-3192.2400000000052</v>
      </c>
      <c r="S11" s="207">
        <f t="shared" si="7"/>
        <v>0.9247136823302475</v>
      </c>
      <c r="T11" s="105">
        <f>E11-листопад!E11</f>
        <v>0</v>
      </c>
      <c r="U11" s="144">
        <f>F11-листопад!F11</f>
        <v>1726.3499999999985</v>
      </c>
      <c r="V11" s="106">
        <f t="shared" si="12"/>
        <v>1726.3499999999985</v>
      </c>
      <c r="W11" s="109" t="e">
        <f t="shared" si="8"/>
        <v>#DIV/0!</v>
      </c>
      <c r="X11" s="364">
        <f t="shared" si="9"/>
        <v>-0.0659627893747673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f t="shared" si="10"/>
        <v>8280</v>
      </c>
      <c r="F12" s="140">
        <v>11456.27</v>
      </c>
      <c r="G12" s="103">
        <f t="shared" si="11"/>
        <v>3176.2700000000004</v>
      </c>
      <c r="H12" s="376">
        <f t="shared" si="0"/>
        <v>1.3836074879227054</v>
      </c>
      <c r="I12" s="104">
        <f t="shared" si="1"/>
        <v>3176.2700000000004</v>
      </c>
      <c r="J12" s="109">
        <f t="shared" si="2"/>
        <v>1.3836074879227054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f t="shared" si="5"/>
        <v>10663.92</v>
      </c>
      <c r="R12" s="106">
        <f t="shared" si="6"/>
        <v>792.3500000000004</v>
      </c>
      <c r="S12" s="207">
        <f t="shared" si="7"/>
        <v>1.0743019452509022</v>
      </c>
      <c r="T12" s="105">
        <f>E12-листопад!E12</f>
        <v>780</v>
      </c>
      <c r="U12" s="144">
        <f>F12-листопад!F12</f>
        <v>1985.2399999999998</v>
      </c>
      <c r="V12" s="106">
        <f t="shared" si="12"/>
        <v>1205.2399999999998</v>
      </c>
      <c r="W12" s="109">
        <f t="shared" si="8"/>
        <v>2.545179487179487</v>
      </c>
      <c r="X12" s="364">
        <f t="shared" si="9"/>
        <v>0.2978520093924186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f t="shared" si="10"/>
        <v>9390</v>
      </c>
      <c r="F13" s="140">
        <v>9943.36</v>
      </c>
      <c r="G13" s="103">
        <f t="shared" si="11"/>
        <v>553.3600000000006</v>
      </c>
      <c r="H13" s="376">
        <f t="shared" si="0"/>
        <v>1.0589307774227903</v>
      </c>
      <c r="I13" s="104">
        <f t="shared" si="1"/>
        <v>553.3600000000006</v>
      </c>
      <c r="J13" s="109">
        <f t="shared" si="2"/>
        <v>1.0589307774227903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f t="shared" si="5"/>
        <v>9532.64</v>
      </c>
      <c r="R13" s="106">
        <f t="shared" si="6"/>
        <v>410.72000000000116</v>
      </c>
      <c r="S13" s="207">
        <f t="shared" si="7"/>
        <v>1.0430856509844073</v>
      </c>
      <c r="T13" s="105">
        <f>E13-листопад!E13</f>
        <v>600</v>
      </c>
      <c r="U13" s="144">
        <f>F13-листопад!F13</f>
        <v>345.77000000000044</v>
      </c>
      <c r="V13" s="106">
        <f t="shared" si="12"/>
        <v>-254.22999999999956</v>
      </c>
      <c r="W13" s="109">
        <f t="shared" si="8"/>
        <v>0.576283333333334</v>
      </c>
      <c r="X13" s="364">
        <f t="shared" si="9"/>
        <v>0.05804897698853617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f t="shared" si="10"/>
        <v>1152</v>
      </c>
      <c r="F14" s="140">
        <v>1365.58</v>
      </c>
      <c r="G14" s="103">
        <f t="shared" si="11"/>
        <v>213.57999999999993</v>
      </c>
      <c r="H14" s="376">
        <f t="shared" si="0"/>
        <v>1.1853993055555554</v>
      </c>
      <c r="I14" s="104">
        <f t="shared" si="1"/>
        <v>213.57999999999993</v>
      </c>
      <c r="J14" s="109">
        <f t="shared" si="2"/>
        <v>1.1853993055555554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f t="shared" si="5"/>
        <v>3120.73</v>
      </c>
      <c r="R14" s="106">
        <f t="shared" si="6"/>
        <v>-1755.15</v>
      </c>
      <c r="S14" s="207">
        <f t="shared" si="7"/>
        <v>0.4375835141136849</v>
      </c>
      <c r="T14" s="105">
        <f>E14-листопад!E14</f>
        <v>96</v>
      </c>
      <c r="U14" s="144">
        <f>F14-листопад!F14</f>
        <v>113.1099999999999</v>
      </c>
      <c r="V14" s="106">
        <f t="shared" si="12"/>
        <v>17.1099999999999</v>
      </c>
      <c r="W14" s="109">
        <f t="shared" si="8"/>
        <v>1.1782291666666656</v>
      </c>
      <c r="X14" s="364">
        <f t="shared" si="9"/>
        <v>0.06843911520701884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f t="shared" si="10"/>
        <v>451</v>
      </c>
      <c r="F15" s="156">
        <v>887.61</v>
      </c>
      <c r="G15" s="150">
        <f t="shared" si="11"/>
        <v>436.61</v>
      </c>
      <c r="H15" s="375">
        <f t="shared" si="0"/>
        <v>1.9680931263858092</v>
      </c>
      <c r="I15" s="158">
        <f t="shared" si="1"/>
        <v>436.61</v>
      </c>
      <c r="J15" s="158">
        <f aca="true" t="shared" si="13" ref="J15:J23"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f t="shared" si="5"/>
        <v>459.29</v>
      </c>
      <c r="R15" s="161">
        <f t="shared" si="6"/>
        <v>428.32</v>
      </c>
      <c r="S15" s="208">
        <f t="shared" si="7"/>
        <v>1.9325698360512966</v>
      </c>
      <c r="T15" s="157">
        <f>E15-листопад!E15</f>
        <v>0</v>
      </c>
      <c r="U15" s="160">
        <f>F15-листопад!F15</f>
        <v>0</v>
      </c>
      <c r="V15" s="161">
        <f t="shared" si="12"/>
        <v>0</v>
      </c>
      <c r="W15" s="210" t="e">
        <f t="shared" si="8"/>
        <v>#DIV/0!</v>
      </c>
      <c r="X15" s="363">
        <f t="shared" si="9"/>
        <v>0.9506194343443142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50">
        <f t="shared" si="10"/>
        <v>0</v>
      </c>
      <c r="F16" s="140">
        <v>0</v>
      </c>
      <c r="G16" s="150">
        <f t="shared" si="11"/>
        <v>0</v>
      </c>
      <c r="H16" s="375" t="e">
        <f>F16/E16/100</f>
        <v>#DIV/0!</v>
      </c>
      <c r="I16" s="158">
        <f t="shared" si="1"/>
        <v>0</v>
      </c>
      <c r="J16" s="158" t="e">
        <f t="shared" si="13"/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61">
        <f t="shared" si="5"/>
        <v>0</v>
      </c>
      <c r="R16" s="161">
        <f t="shared" si="6"/>
        <v>0</v>
      </c>
      <c r="S16" s="208" t="e">
        <f t="shared" si="7"/>
        <v>#DIV/0!</v>
      </c>
      <c r="T16" s="157">
        <f>E16-листопад!E16</f>
        <v>0</v>
      </c>
      <c r="U16" s="160">
        <f>F16-листопад!F16</f>
        <v>0</v>
      </c>
      <c r="V16" s="161">
        <f t="shared" si="12"/>
        <v>0</v>
      </c>
      <c r="W16" s="210" t="e">
        <f>U16/T16*100</f>
        <v>#DIV/0!</v>
      </c>
      <c r="X16" s="363" t="e">
        <f t="shared" si="9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50">
        <f t="shared" si="10"/>
        <v>0</v>
      </c>
      <c r="F17" s="163">
        <v>0.49</v>
      </c>
      <c r="G17" s="150">
        <f t="shared" si="11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1">
        <f t="shared" si="5"/>
        <v>0.17</v>
      </c>
      <c r="R17" s="161">
        <f t="shared" si="6"/>
        <v>0.31999999999999995</v>
      </c>
      <c r="S17" s="208">
        <f t="shared" si="7"/>
        <v>2.88235294117647</v>
      </c>
      <c r="T17" s="157">
        <f>E17-листопад!E17</f>
        <v>0</v>
      </c>
      <c r="U17" s="160">
        <f>F17-листопад!F17</f>
        <v>0</v>
      </c>
      <c r="V17" s="161">
        <f t="shared" si="12"/>
        <v>0</v>
      </c>
      <c r="W17" s="210"/>
      <c r="X17" s="363">
        <f t="shared" si="9"/>
        <v>2.88235294117647</v>
      </c>
    </row>
    <row r="18" spans="1:24" s="6" customFormat="1" ht="30.75">
      <c r="A18" s="8"/>
      <c r="B18" s="130" t="s">
        <v>117</v>
      </c>
      <c r="C18" s="120">
        <v>13030200</v>
      </c>
      <c r="D18" s="150">
        <v>125</v>
      </c>
      <c r="E18" s="150">
        <f t="shared" si="10"/>
        <v>125</v>
      </c>
      <c r="F18" s="156">
        <v>220.59</v>
      </c>
      <c r="G18" s="150">
        <f t="shared" si="11"/>
        <v>95.59</v>
      </c>
      <c r="H18" s="375">
        <f aca="true" t="shared" si="14" ref="H18:H41">F18/E18</f>
        <v>1.76472</v>
      </c>
      <c r="I18" s="158">
        <f t="shared" si="1"/>
        <v>95.59</v>
      </c>
      <c r="J18" s="158">
        <f t="shared" si="13"/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f t="shared" si="5"/>
        <v>124.7</v>
      </c>
      <c r="R18" s="161">
        <f t="shared" si="6"/>
        <v>95.89</v>
      </c>
      <c r="S18" s="208">
        <f t="shared" si="7"/>
        <v>1.7689655172413794</v>
      </c>
      <c r="T18" s="157">
        <f>E18-листопад!E18</f>
        <v>0</v>
      </c>
      <c r="U18" s="160">
        <f>F18-листопад!F18</f>
        <v>0</v>
      </c>
      <c r="V18" s="161">
        <f t="shared" si="12"/>
        <v>0</v>
      </c>
      <c r="W18" s="210" t="e">
        <f aca="true" t="shared" si="15" ref="W18:W25">U18/T18</f>
        <v>#DIV/0!</v>
      </c>
      <c r="X18" s="363">
        <f t="shared" si="9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 t="shared" si="10"/>
        <v>125700</v>
      </c>
      <c r="F19" s="223">
        <v>116172.59</v>
      </c>
      <c r="G19" s="150">
        <f t="shared" si="11"/>
        <v>-9527.410000000003</v>
      </c>
      <c r="H19" s="375">
        <f t="shared" si="14"/>
        <v>0.9242051710421638</v>
      </c>
      <c r="I19" s="158">
        <f t="shared" si="1"/>
        <v>-9527.410000000003</v>
      </c>
      <c r="J19" s="158">
        <f t="shared" si="13"/>
        <v>92.42051710421639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f t="shared" si="5"/>
        <v>101799.72</v>
      </c>
      <c r="R19" s="161">
        <f t="shared" si="6"/>
        <v>14372.869999999995</v>
      </c>
      <c r="S19" s="208">
        <f t="shared" si="7"/>
        <v>1.1411877164298683</v>
      </c>
      <c r="T19" s="157">
        <f>E19-листопад!E19</f>
        <v>8800</v>
      </c>
      <c r="U19" s="160">
        <f>F19-листопад!F19</f>
        <v>4700.649999999994</v>
      </c>
      <c r="V19" s="161">
        <f t="shared" si="12"/>
        <v>-4099.350000000006</v>
      </c>
      <c r="W19" s="210">
        <f t="shared" si="15"/>
        <v>0.534164772727272</v>
      </c>
      <c r="X19" s="363">
        <f t="shared" si="9"/>
        <v>-0.09358974661226971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f t="shared" si="10"/>
        <v>63400</v>
      </c>
      <c r="F20" s="201">
        <v>57253.4</v>
      </c>
      <c r="G20" s="253">
        <f t="shared" si="11"/>
        <v>-6146.5999999999985</v>
      </c>
      <c r="H20" s="378">
        <f t="shared" si="14"/>
        <v>0.9030504731861199</v>
      </c>
      <c r="I20" s="254">
        <f t="shared" si="1"/>
        <v>-6146.5999999999985</v>
      </c>
      <c r="J20" s="254">
        <f t="shared" si="13"/>
        <v>90.30504731861198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f t="shared" si="5"/>
        <v>101799.72</v>
      </c>
      <c r="R20" s="166">
        <f t="shared" si="6"/>
        <v>-44546.32</v>
      </c>
      <c r="S20" s="256">
        <f t="shared" si="7"/>
        <v>0.5624121559469908</v>
      </c>
      <c r="T20" s="195">
        <f>E20-листопад!E20</f>
        <v>0</v>
      </c>
      <c r="U20" s="179">
        <f>F20-листопад!F20</f>
        <v>806.3800000000047</v>
      </c>
      <c r="V20" s="166">
        <f t="shared" si="12"/>
        <v>806.3800000000047</v>
      </c>
      <c r="W20" s="305" t="e">
        <f t="shared" si="15"/>
        <v>#DIV/0!</v>
      </c>
      <c r="X20" s="363">
        <f t="shared" si="9"/>
        <v>-0.060379340925495684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f t="shared" si="10"/>
        <v>12200</v>
      </c>
      <c r="F21" s="201">
        <v>11771.21</v>
      </c>
      <c r="G21" s="253">
        <f t="shared" si="11"/>
        <v>-428.7900000000009</v>
      </c>
      <c r="H21" s="378">
        <f t="shared" si="14"/>
        <v>0.9648532786885246</v>
      </c>
      <c r="I21" s="254">
        <f t="shared" si="1"/>
        <v>-428.7900000000009</v>
      </c>
      <c r="J21" s="254">
        <f t="shared" si="13"/>
        <v>96.48532786885245</v>
      </c>
      <c r="K21" s="254"/>
      <c r="L21" s="254"/>
      <c r="M21" s="254"/>
      <c r="N21" s="254"/>
      <c r="O21" s="254"/>
      <c r="P21" s="305"/>
      <c r="Q21" s="166">
        <f t="shared" si="5"/>
        <v>0</v>
      </c>
      <c r="R21" s="166">
        <f t="shared" si="6"/>
        <v>11771.21</v>
      </c>
      <c r="S21" s="256"/>
      <c r="T21" s="195">
        <f>E21-листопад!E21</f>
        <v>1000</v>
      </c>
      <c r="U21" s="179">
        <f>F21-листопад!F21</f>
        <v>588.8099999999995</v>
      </c>
      <c r="V21" s="166">
        <f t="shared" si="12"/>
        <v>-411.1900000000005</v>
      </c>
      <c r="W21" s="305">
        <f t="shared" si="15"/>
        <v>0.5888099999999995</v>
      </c>
      <c r="X21" s="363">
        <f t="shared" si="9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f t="shared" si="10"/>
        <v>50100</v>
      </c>
      <c r="F22" s="201">
        <v>47147.98</v>
      </c>
      <c r="G22" s="253">
        <f t="shared" si="11"/>
        <v>-2952.019999999997</v>
      </c>
      <c r="H22" s="378">
        <f t="shared" si="14"/>
        <v>0.9410774451097805</v>
      </c>
      <c r="I22" s="254">
        <f t="shared" si="1"/>
        <v>-2952.019999999997</v>
      </c>
      <c r="J22" s="254">
        <f t="shared" si="13"/>
        <v>94.10774451097805</v>
      </c>
      <c r="K22" s="254"/>
      <c r="L22" s="254"/>
      <c r="M22" s="254"/>
      <c r="N22" s="254"/>
      <c r="O22" s="254"/>
      <c r="P22" s="305"/>
      <c r="Q22" s="166">
        <f t="shared" si="5"/>
        <v>0</v>
      </c>
      <c r="R22" s="166">
        <f t="shared" si="6"/>
        <v>47147.98</v>
      </c>
      <c r="S22" s="256"/>
      <c r="T22" s="195">
        <f>E22-листопад!E22</f>
        <v>7800</v>
      </c>
      <c r="U22" s="179">
        <f>F22-листопад!F22</f>
        <v>3305.4600000000064</v>
      </c>
      <c r="V22" s="166">
        <f t="shared" si="12"/>
        <v>-4494.539999999994</v>
      </c>
      <c r="W22" s="305">
        <f t="shared" si="15"/>
        <v>0.4237769230769239</v>
      </c>
      <c r="X22" s="363">
        <f t="shared" si="9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401260.1</v>
      </c>
      <c r="F23" s="223">
        <v>418219.92</v>
      </c>
      <c r="G23" s="150">
        <f t="shared" si="11"/>
        <v>16959.820000000007</v>
      </c>
      <c r="H23" s="375">
        <f t="shared" si="14"/>
        <v>1.0422664002725415</v>
      </c>
      <c r="I23" s="158">
        <f t="shared" si="1"/>
        <v>16959.820000000007</v>
      </c>
      <c r="J23" s="158">
        <f t="shared" si="13"/>
        <v>104.22664002725415</v>
      </c>
      <c r="K23" s="158"/>
      <c r="L23" s="158"/>
      <c r="M23" s="158"/>
      <c r="N23" s="158">
        <v>340503.51</v>
      </c>
      <c r="O23" s="158">
        <f aca="true" t="shared" si="16" ref="O23:O51">D23-N23</f>
        <v>60756.58999999997</v>
      </c>
      <c r="P23" s="210">
        <f aca="true" t="shared" si="17" ref="P23:P51">D23/N23</f>
        <v>1.1784316114685571</v>
      </c>
      <c r="Q23" s="158">
        <f t="shared" si="5"/>
        <v>340503.51</v>
      </c>
      <c r="R23" s="161">
        <f t="shared" si="6"/>
        <v>77716.40999999997</v>
      </c>
      <c r="S23" s="209">
        <f aca="true" t="shared" si="18" ref="S23:S41">F23/Q23</f>
        <v>1.2282396736527033</v>
      </c>
      <c r="T23" s="157">
        <f>E23-листопад!E23</f>
        <v>21836.5</v>
      </c>
      <c r="U23" s="160">
        <f>F23-листопад!F23</f>
        <v>14049.25</v>
      </c>
      <c r="V23" s="161">
        <f t="shared" si="12"/>
        <v>-7787.25</v>
      </c>
      <c r="W23" s="210">
        <f t="shared" si="15"/>
        <v>0.6433837840313237</v>
      </c>
      <c r="X23" s="363">
        <f>S23-P23</f>
        <v>0.04980806218414613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206751</v>
      </c>
      <c r="F24" s="223">
        <f>F25+F32+F35</f>
        <v>197377.21000000002</v>
      </c>
      <c r="G24" s="150">
        <f t="shared" si="11"/>
        <v>-9373.789999999979</v>
      </c>
      <c r="H24" s="375">
        <f t="shared" si="14"/>
        <v>0.9546614526652835</v>
      </c>
      <c r="I24" s="158">
        <f t="shared" si="1"/>
        <v>-9373.789999999979</v>
      </c>
      <c r="J24" s="210">
        <f aca="true" t="shared" si="19" ref="J24:J41">F24/D24</f>
        <v>0.9546614526652835</v>
      </c>
      <c r="K24" s="158"/>
      <c r="L24" s="158"/>
      <c r="M24" s="158"/>
      <c r="N24" s="158">
        <v>182295.05</v>
      </c>
      <c r="O24" s="158">
        <f t="shared" si="16"/>
        <v>24455.95000000001</v>
      </c>
      <c r="P24" s="210">
        <f t="shared" si="17"/>
        <v>1.134155864352872</v>
      </c>
      <c r="Q24" s="158">
        <f t="shared" si="5"/>
        <v>182295.05</v>
      </c>
      <c r="R24" s="161">
        <f t="shared" si="6"/>
        <v>15082.160000000033</v>
      </c>
      <c r="S24" s="209">
        <f t="shared" si="18"/>
        <v>1.082734885011963</v>
      </c>
      <c r="T24" s="157">
        <f>E24-листопад!E24</f>
        <v>15189.899999999994</v>
      </c>
      <c r="U24" s="160">
        <f>F24-листопад!F24</f>
        <v>6121.400000000023</v>
      </c>
      <c r="V24" s="161">
        <f t="shared" si="12"/>
        <v>-9068.49999999997</v>
      </c>
      <c r="W24" s="210">
        <f t="shared" si="15"/>
        <v>0.40299146143161085</v>
      </c>
      <c r="X24" s="363">
        <f aca="true" t="shared" si="20" ref="X24:X99">S24-P24</f>
        <v>-0.05142097934090906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f aca="true" t="shared" si="21" ref="E25:E45">D25</f>
        <v>22809</v>
      </c>
      <c r="F25" s="201">
        <v>24991.27</v>
      </c>
      <c r="G25" s="253">
        <f t="shared" si="11"/>
        <v>2182.2700000000004</v>
      </c>
      <c r="H25" s="378">
        <f t="shared" si="14"/>
        <v>1.09567582971634</v>
      </c>
      <c r="I25" s="254">
        <f t="shared" si="1"/>
        <v>2182.2700000000004</v>
      </c>
      <c r="J25" s="305">
        <f t="shared" si="19"/>
        <v>1.09567582971634</v>
      </c>
      <c r="K25" s="254"/>
      <c r="L25" s="254"/>
      <c r="M25" s="254"/>
      <c r="N25" s="254">
        <v>21482.16</v>
      </c>
      <c r="O25" s="254">
        <f t="shared" si="16"/>
        <v>1326.8400000000001</v>
      </c>
      <c r="P25" s="305">
        <f t="shared" si="17"/>
        <v>1.0617647387413556</v>
      </c>
      <c r="Q25" s="304">
        <f t="shared" si="5"/>
        <v>21482.16</v>
      </c>
      <c r="R25" s="166">
        <f t="shared" si="6"/>
        <v>3509.1100000000006</v>
      </c>
      <c r="S25" s="215">
        <f t="shared" si="18"/>
        <v>1.163349961083988</v>
      </c>
      <c r="T25" s="195">
        <f>E25-листопад!E25</f>
        <v>544.9000000000015</v>
      </c>
      <c r="U25" s="179">
        <f>F25-листопад!F25</f>
        <v>481.0400000000009</v>
      </c>
      <c r="V25" s="166">
        <f t="shared" si="12"/>
        <v>-63.86000000000058</v>
      </c>
      <c r="W25" s="305">
        <f t="shared" si="15"/>
        <v>0.8828041842539908</v>
      </c>
      <c r="X25" s="363">
        <f t="shared" si="20"/>
        <v>0.10158522234263234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 t="shared" si="21"/>
        <v>1822.3</v>
      </c>
      <c r="F26" s="199">
        <f>F28+F29</f>
        <v>1469.1299999999999</v>
      </c>
      <c r="G26" s="223">
        <f t="shared" si="11"/>
        <v>-353.1700000000001</v>
      </c>
      <c r="H26" s="379">
        <f t="shared" si="14"/>
        <v>0.806195467266641</v>
      </c>
      <c r="I26" s="299">
        <f t="shared" si="1"/>
        <v>-353.1700000000001</v>
      </c>
      <c r="J26" s="341">
        <f t="shared" si="19"/>
        <v>0.806195467266641</v>
      </c>
      <c r="K26" s="299"/>
      <c r="L26" s="299"/>
      <c r="M26" s="299"/>
      <c r="N26" s="299">
        <v>842.7</v>
      </c>
      <c r="O26" s="299">
        <f t="shared" si="16"/>
        <v>979.5999999999999</v>
      </c>
      <c r="P26" s="341">
        <f t="shared" si="17"/>
        <v>2.162454016850599</v>
      </c>
      <c r="Q26" s="200">
        <f t="shared" si="5"/>
        <v>842.7</v>
      </c>
      <c r="R26" s="367">
        <f t="shared" si="6"/>
        <v>626.4299999999998</v>
      </c>
      <c r="S26" s="228">
        <f t="shared" si="18"/>
        <v>1.7433606265574935</v>
      </c>
      <c r="T26" s="237">
        <f>E26-листопад!E26</f>
        <v>55</v>
      </c>
      <c r="U26" s="237">
        <f>F26-листопад!F26</f>
        <v>61.34999999999968</v>
      </c>
      <c r="V26" s="299">
        <f t="shared" si="12"/>
        <v>6.349999999999682</v>
      </c>
      <c r="W26" s="341">
        <f aca="true" t="shared" si="22" ref="W26:W41">U26/T26*100</f>
        <v>111.54545454545396</v>
      </c>
      <c r="X26" s="363">
        <f t="shared" si="20"/>
        <v>-0.41909339029310555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 t="shared" si="21"/>
        <v>20986.699999999997</v>
      </c>
      <c r="F27" s="199">
        <f>F30+F31</f>
        <v>23522.13</v>
      </c>
      <c r="G27" s="223">
        <f t="shared" si="11"/>
        <v>2535.430000000004</v>
      </c>
      <c r="H27" s="379">
        <f t="shared" si="14"/>
        <v>1.1208112757127136</v>
      </c>
      <c r="I27" s="299">
        <f t="shared" si="1"/>
        <v>2535.430000000004</v>
      </c>
      <c r="J27" s="341">
        <f t="shared" si="19"/>
        <v>1.1208112757127136</v>
      </c>
      <c r="K27" s="299"/>
      <c r="L27" s="299"/>
      <c r="M27" s="299"/>
      <c r="N27" s="299">
        <v>20639.46</v>
      </c>
      <c r="O27" s="299">
        <f t="shared" si="16"/>
        <v>347.23999999999796</v>
      </c>
      <c r="P27" s="341">
        <f t="shared" si="17"/>
        <v>1.01682408357583</v>
      </c>
      <c r="Q27" s="200">
        <f t="shared" si="5"/>
        <v>20639.46</v>
      </c>
      <c r="R27" s="367">
        <f t="shared" si="6"/>
        <v>2882.670000000002</v>
      </c>
      <c r="S27" s="228">
        <f t="shared" si="18"/>
        <v>1.1396678982880366</v>
      </c>
      <c r="T27" s="237">
        <f>E27-листопад!E27</f>
        <v>489.8999999999978</v>
      </c>
      <c r="U27" s="237">
        <f>F27-листопад!F27</f>
        <v>419.6700000000019</v>
      </c>
      <c r="V27" s="299">
        <f t="shared" si="12"/>
        <v>-70.22999999999593</v>
      </c>
      <c r="W27" s="341">
        <f t="shared" si="22"/>
        <v>85.66442131047229</v>
      </c>
      <c r="X27" s="363">
        <f t="shared" si="20"/>
        <v>0.12284381471220662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f t="shared" si="21"/>
        <v>922.3</v>
      </c>
      <c r="F28" s="373">
        <v>263.83</v>
      </c>
      <c r="G28" s="385">
        <f t="shared" si="11"/>
        <v>-658.47</v>
      </c>
      <c r="H28" s="387">
        <f t="shared" si="14"/>
        <v>0.28605659763634395</v>
      </c>
      <c r="I28" s="388">
        <f t="shared" si="1"/>
        <v>-658.47</v>
      </c>
      <c r="J28" s="389">
        <f t="shared" si="19"/>
        <v>0.28605659763634395</v>
      </c>
      <c r="K28" s="299"/>
      <c r="L28" s="299"/>
      <c r="M28" s="299"/>
      <c r="N28" s="388">
        <v>395.2</v>
      </c>
      <c r="O28" s="388">
        <f t="shared" si="16"/>
        <v>527.0999999999999</v>
      </c>
      <c r="P28" s="389">
        <f t="shared" si="17"/>
        <v>2.3337550607287447</v>
      </c>
      <c r="Q28" s="388">
        <f t="shared" si="5"/>
        <v>395.2</v>
      </c>
      <c r="R28" s="388">
        <f t="shared" si="6"/>
        <v>-131.37</v>
      </c>
      <c r="S28" s="389">
        <f t="shared" si="18"/>
        <v>0.667586032388664</v>
      </c>
      <c r="T28" s="373">
        <f>E28-листопад!E28</f>
        <v>5</v>
      </c>
      <c r="U28" s="373">
        <f>F28-листопад!F28</f>
        <v>2.9699999999999704</v>
      </c>
      <c r="V28" s="388">
        <f t="shared" si="12"/>
        <v>-2.0300000000000296</v>
      </c>
      <c r="W28" s="389">
        <f t="shared" si="22"/>
        <v>59.39999999999941</v>
      </c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f t="shared" si="21"/>
        <v>900</v>
      </c>
      <c r="F29" s="373">
        <v>1205.3</v>
      </c>
      <c r="G29" s="385">
        <f t="shared" si="11"/>
        <v>305.29999999999995</v>
      </c>
      <c r="H29" s="387">
        <f t="shared" si="14"/>
        <v>1.339222222222222</v>
      </c>
      <c r="I29" s="388">
        <f t="shared" si="1"/>
        <v>305.29999999999995</v>
      </c>
      <c r="J29" s="389">
        <f t="shared" si="19"/>
        <v>1.339222222222222</v>
      </c>
      <c r="K29" s="299"/>
      <c r="L29" s="299"/>
      <c r="M29" s="299"/>
      <c r="N29" s="388">
        <v>447.5</v>
      </c>
      <c r="O29" s="388">
        <f t="shared" si="16"/>
        <v>452.5</v>
      </c>
      <c r="P29" s="389">
        <f t="shared" si="17"/>
        <v>2.011173184357542</v>
      </c>
      <c r="Q29" s="388">
        <f t="shared" si="5"/>
        <v>447.5</v>
      </c>
      <c r="R29" s="388">
        <f t="shared" si="6"/>
        <v>757.8</v>
      </c>
      <c r="S29" s="389">
        <f t="shared" si="18"/>
        <v>2.69340782122905</v>
      </c>
      <c r="T29" s="373">
        <f>E29-листопад!E29</f>
        <v>50</v>
      </c>
      <c r="U29" s="373">
        <f>F29-листопад!F29</f>
        <v>58.37999999999988</v>
      </c>
      <c r="V29" s="388">
        <f t="shared" si="12"/>
        <v>8.379999999999882</v>
      </c>
      <c r="W29" s="389">
        <f t="shared" si="22"/>
        <v>116.75999999999975</v>
      </c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f t="shared" si="21"/>
        <v>2019.1</v>
      </c>
      <c r="F30" s="373">
        <v>2083.02</v>
      </c>
      <c r="G30" s="385">
        <f t="shared" si="11"/>
        <v>63.92000000000007</v>
      </c>
      <c r="H30" s="387">
        <f t="shared" si="14"/>
        <v>1.0316576692585806</v>
      </c>
      <c r="I30" s="388">
        <f t="shared" si="1"/>
        <v>63.92000000000007</v>
      </c>
      <c r="J30" s="389">
        <f t="shared" si="19"/>
        <v>1.0316576692585806</v>
      </c>
      <c r="K30" s="299"/>
      <c r="L30" s="299"/>
      <c r="M30" s="299"/>
      <c r="N30" s="388">
        <v>1968.01</v>
      </c>
      <c r="O30" s="388">
        <f t="shared" si="16"/>
        <v>51.08999999999992</v>
      </c>
      <c r="P30" s="389">
        <f t="shared" si="17"/>
        <v>1.0259602339419007</v>
      </c>
      <c r="Q30" s="388">
        <f t="shared" si="5"/>
        <v>1968.01</v>
      </c>
      <c r="R30" s="388">
        <f t="shared" si="6"/>
        <v>115.00999999999999</v>
      </c>
      <c r="S30" s="389">
        <f t="shared" si="18"/>
        <v>1.0584397437004893</v>
      </c>
      <c r="T30" s="373">
        <f>E30-листопад!E30</f>
        <v>0</v>
      </c>
      <c r="U30" s="373">
        <f>F30-листопад!F30</f>
        <v>-13.849999999999909</v>
      </c>
      <c r="V30" s="388">
        <f t="shared" si="12"/>
        <v>-13.849999999999909</v>
      </c>
      <c r="W30" s="389" t="e">
        <f t="shared" si="22"/>
        <v>#DIV/0!</v>
      </c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f t="shared" si="21"/>
        <v>18967.6</v>
      </c>
      <c r="F31" s="373">
        <v>21439.11</v>
      </c>
      <c r="G31" s="385">
        <f t="shared" si="11"/>
        <v>2471.510000000002</v>
      </c>
      <c r="H31" s="387">
        <f t="shared" si="14"/>
        <v>1.1303016723254393</v>
      </c>
      <c r="I31" s="388">
        <f t="shared" si="1"/>
        <v>2471.510000000002</v>
      </c>
      <c r="J31" s="389">
        <f t="shared" si="19"/>
        <v>1.1303016723254393</v>
      </c>
      <c r="K31" s="299"/>
      <c r="L31" s="299"/>
      <c r="M31" s="299"/>
      <c r="N31" s="388">
        <v>18671.45</v>
      </c>
      <c r="O31" s="388">
        <f t="shared" si="16"/>
        <v>296.1499999999978</v>
      </c>
      <c r="P31" s="389">
        <f t="shared" si="17"/>
        <v>1.0158611141609246</v>
      </c>
      <c r="Q31" s="388">
        <f t="shared" si="5"/>
        <v>18671.45</v>
      </c>
      <c r="R31" s="388">
        <f t="shared" si="6"/>
        <v>2767.66</v>
      </c>
      <c r="S31" s="389">
        <f t="shared" si="18"/>
        <v>1.1482295161864773</v>
      </c>
      <c r="T31" s="373">
        <f>E31-листопад!E31</f>
        <v>489.8999999999978</v>
      </c>
      <c r="U31" s="373">
        <f>F31-листопад!F31</f>
        <v>433.52000000000044</v>
      </c>
      <c r="V31" s="388"/>
      <c r="W31" s="389">
        <f t="shared" si="22"/>
        <v>88.49152888344608</v>
      </c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f t="shared" si="21"/>
        <v>650</v>
      </c>
      <c r="F32" s="172">
        <v>452.43</v>
      </c>
      <c r="G32" s="253">
        <f t="shared" si="11"/>
        <v>-197.57</v>
      </c>
      <c r="H32" s="378">
        <f t="shared" si="14"/>
        <v>0.6960461538461539</v>
      </c>
      <c r="I32" s="254">
        <f t="shared" si="1"/>
        <v>-197.57</v>
      </c>
      <c r="J32" s="305">
        <f t="shared" si="19"/>
        <v>0.6960461538461539</v>
      </c>
      <c r="K32" s="254"/>
      <c r="L32" s="254"/>
      <c r="M32" s="254"/>
      <c r="N32" s="254">
        <v>701.85</v>
      </c>
      <c r="O32" s="254">
        <f t="shared" si="16"/>
        <v>-51.85000000000002</v>
      </c>
      <c r="P32" s="305">
        <f t="shared" si="17"/>
        <v>0.9261238156301204</v>
      </c>
      <c r="Q32" s="174">
        <f t="shared" si="5"/>
        <v>701.85</v>
      </c>
      <c r="R32" s="174">
        <f t="shared" si="6"/>
        <v>-249.42000000000002</v>
      </c>
      <c r="S32" s="212">
        <f t="shared" si="18"/>
        <v>0.6446249198546697</v>
      </c>
      <c r="T32" s="195">
        <f>E32-листопад!E32</f>
        <v>5</v>
      </c>
      <c r="U32" s="179">
        <f>F32-листопад!F32</f>
        <v>-3.9499999999999886</v>
      </c>
      <c r="V32" s="166">
        <f t="shared" si="12"/>
        <v>-8.949999999999989</v>
      </c>
      <c r="W32" s="305">
        <f>U32/T32</f>
        <v>-0.7899999999999977</v>
      </c>
      <c r="X32" s="364">
        <f t="shared" si="20"/>
        <v>-0.2814988957754506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f t="shared" si="21"/>
        <v>350</v>
      </c>
      <c r="F33" s="140">
        <v>56.11</v>
      </c>
      <c r="G33" s="103">
        <f t="shared" si="11"/>
        <v>-293.89</v>
      </c>
      <c r="H33" s="376">
        <f t="shared" si="14"/>
        <v>0.16031428571428571</v>
      </c>
      <c r="I33" s="104">
        <f t="shared" si="1"/>
        <v>-293.89</v>
      </c>
      <c r="J33" s="109">
        <f t="shared" si="19"/>
        <v>0.16031428571428571</v>
      </c>
      <c r="K33" s="104"/>
      <c r="L33" s="104"/>
      <c r="M33" s="104"/>
      <c r="N33" s="104">
        <v>350.41</v>
      </c>
      <c r="O33" s="104">
        <f t="shared" si="16"/>
        <v>-0.410000000000025</v>
      </c>
      <c r="P33" s="109">
        <f t="shared" si="17"/>
        <v>0.9988299420678632</v>
      </c>
      <c r="Q33" s="104">
        <f t="shared" si="5"/>
        <v>350.41</v>
      </c>
      <c r="R33" s="104">
        <f t="shared" si="6"/>
        <v>-294.3</v>
      </c>
      <c r="S33" s="109">
        <f t="shared" si="18"/>
        <v>0.1601267087126509</v>
      </c>
      <c r="T33" s="105">
        <f>E33-листопад!E33</f>
        <v>0</v>
      </c>
      <c r="U33" s="144">
        <f>F33-листопад!F33</f>
        <v>-10.420000000000002</v>
      </c>
      <c r="V33" s="106">
        <f t="shared" si="12"/>
        <v>-10.420000000000002</v>
      </c>
      <c r="W33" s="109" t="e">
        <f>U33/T33</f>
        <v>#DIV/0!</v>
      </c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f t="shared" si="21"/>
        <v>300</v>
      </c>
      <c r="F34" s="140">
        <v>396.32</v>
      </c>
      <c r="G34" s="103">
        <f t="shared" si="11"/>
        <v>96.32</v>
      </c>
      <c r="H34" s="376">
        <f t="shared" si="14"/>
        <v>1.3210666666666666</v>
      </c>
      <c r="I34" s="104">
        <f t="shared" si="1"/>
        <v>96.32</v>
      </c>
      <c r="J34" s="109">
        <f t="shared" si="19"/>
        <v>1.3210666666666666</v>
      </c>
      <c r="K34" s="104"/>
      <c r="L34" s="104"/>
      <c r="M34" s="104"/>
      <c r="N34" s="104">
        <v>351.44</v>
      </c>
      <c r="O34" s="104">
        <f t="shared" si="16"/>
        <v>-51.44</v>
      </c>
      <c r="P34" s="109">
        <f t="shared" si="17"/>
        <v>0.8536307762349192</v>
      </c>
      <c r="Q34" s="104">
        <f t="shared" si="5"/>
        <v>351.44</v>
      </c>
      <c r="R34" s="104">
        <f t="shared" si="6"/>
        <v>44.879999999999995</v>
      </c>
      <c r="S34" s="109">
        <f t="shared" si="18"/>
        <v>1.127703164124744</v>
      </c>
      <c r="T34" s="105">
        <f>E34-листопад!E34</f>
        <v>5</v>
      </c>
      <c r="U34" s="144">
        <f>F34-листопад!F34</f>
        <v>6.46999999999997</v>
      </c>
      <c r="V34" s="106"/>
      <c r="W34" s="109">
        <f>U34/T34</f>
        <v>1.293999999999994</v>
      </c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f t="shared" si="21"/>
        <v>183292</v>
      </c>
      <c r="F35" s="172">
        <v>171933.51</v>
      </c>
      <c r="G35" s="150">
        <f t="shared" si="11"/>
        <v>-11358.48999999999</v>
      </c>
      <c r="H35" s="378">
        <f t="shared" si="14"/>
        <v>0.9380306287235668</v>
      </c>
      <c r="I35" s="254">
        <f t="shared" si="1"/>
        <v>-11358.48999999999</v>
      </c>
      <c r="J35" s="305">
        <f t="shared" si="19"/>
        <v>0.9380306287235668</v>
      </c>
      <c r="K35" s="254"/>
      <c r="L35" s="254"/>
      <c r="M35" s="254"/>
      <c r="N35" s="254">
        <v>160111.04</v>
      </c>
      <c r="O35" s="254">
        <f t="shared" si="16"/>
        <v>23180.959999999992</v>
      </c>
      <c r="P35" s="305">
        <f t="shared" si="17"/>
        <v>1.1447805223175116</v>
      </c>
      <c r="Q35" s="175">
        <f t="shared" si="5"/>
        <v>160111.04</v>
      </c>
      <c r="R35" s="175">
        <f t="shared" si="6"/>
        <v>11822.470000000001</v>
      </c>
      <c r="S35" s="211">
        <f t="shared" si="18"/>
        <v>1.0738391930999887</v>
      </c>
      <c r="T35" s="195">
        <f>E35-листопад!E35</f>
        <v>14640</v>
      </c>
      <c r="U35" s="179">
        <f>F35-листопад!F35</f>
        <v>5644.309999999998</v>
      </c>
      <c r="V35" s="166">
        <f t="shared" si="12"/>
        <v>-8995.690000000002</v>
      </c>
      <c r="W35" s="305">
        <f>U35/T35</f>
        <v>0.38554030054644794</v>
      </c>
      <c r="X35" s="364">
        <f t="shared" si="20"/>
        <v>-0.07094132921752294</v>
      </c>
    </row>
    <row r="36" spans="1:24" s="6" customFormat="1" ht="18" customHeight="1" hidden="1">
      <c r="A36" s="8"/>
      <c r="B36" s="196" t="s">
        <v>111</v>
      </c>
      <c r="C36" s="197"/>
      <c r="D36" s="199">
        <f>D38+D40</f>
        <v>58533</v>
      </c>
      <c r="E36" s="199">
        <f t="shared" si="21"/>
        <v>58533</v>
      </c>
      <c r="F36" s="199">
        <f>F38+F40</f>
        <v>55451.4</v>
      </c>
      <c r="G36" s="223">
        <f t="shared" si="11"/>
        <v>-3081.5999999999985</v>
      </c>
      <c r="H36" s="379">
        <f t="shared" si="14"/>
        <v>0.9473527753574906</v>
      </c>
      <c r="I36" s="299">
        <f t="shared" si="1"/>
        <v>-3081.5999999999985</v>
      </c>
      <c r="J36" s="341">
        <f t="shared" si="19"/>
        <v>0.9473527753574906</v>
      </c>
      <c r="K36" s="299"/>
      <c r="L36" s="299"/>
      <c r="M36" s="299"/>
      <c r="N36" s="299">
        <v>49911.97</v>
      </c>
      <c r="O36" s="299">
        <f t="shared" si="16"/>
        <v>8621.029999999999</v>
      </c>
      <c r="P36" s="341">
        <f t="shared" si="17"/>
        <v>1.1727246991052447</v>
      </c>
      <c r="Q36" s="200">
        <f t="shared" si="5"/>
        <v>49911.97</v>
      </c>
      <c r="R36" s="200">
        <f t="shared" si="6"/>
        <v>5539.43</v>
      </c>
      <c r="S36" s="228">
        <f t="shared" si="18"/>
        <v>1.1109839984276317</v>
      </c>
      <c r="T36" s="237">
        <f>E36-листопад!E36</f>
        <v>4800</v>
      </c>
      <c r="U36" s="237">
        <f>F36-листопад!F36</f>
        <v>1449.3600000000006</v>
      </c>
      <c r="V36" s="299">
        <f t="shared" si="12"/>
        <v>-3350.6399999999994</v>
      </c>
      <c r="W36" s="341">
        <f t="shared" si="22"/>
        <v>30.19500000000001</v>
      </c>
      <c r="X36" s="363">
        <f t="shared" si="20"/>
        <v>-0.06174070067761295</v>
      </c>
    </row>
    <row r="37" spans="1:24" s="6" customFormat="1" ht="18" customHeight="1" hidden="1">
      <c r="A37" s="8"/>
      <c r="B37" s="196" t="s">
        <v>112</v>
      </c>
      <c r="C37" s="197"/>
      <c r="D37" s="199">
        <f>D39+D41</f>
        <v>124759</v>
      </c>
      <c r="E37" s="199">
        <f t="shared" si="21"/>
        <v>124759</v>
      </c>
      <c r="F37" s="199">
        <f>F39+F41</f>
        <v>116482.12</v>
      </c>
      <c r="G37" s="223">
        <f t="shared" si="11"/>
        <v>-8276.880000000005</v>
      </c>
      <c r="H37" s="379">
        <f t="shared" si="14"/>
        <v>0.9336570507939307</v>
      </c>
      <c r="I37" s="299">
        <f t="shared" si="1"/>
        <v>-8276.880000000005</v>
      </c>
      <c r="J37" s="341">
        <f t="shared" si="19"/>
        <v>0.9336570507939307</v>
      </c>
      <c r="K37" s="299"/>
      <c r="L37" s="299"/>
      <c r="M37" s="299"/>
      <c r="N37" s="299">
        <v>110199.06</v>
      </c>
      <c r="O37" s="299">
        <f t="shared" si="16"/>
        <v>14559.940000000002</v>
      </c>
      <c r="P37" s="341">
        <f t="shared" si="17"/>
        <v>1.1321239945240913</v>
      </c>
      <c r="Q37" s="200">
        <f t="shared" si="5"/>
        <v>110199.06</v>
      </c>
      <c r="R37" s="200">
        <f t="shared" si="6"/>
        <v>6283.059999999998</v>
      </c>
      <c r="S37" s="228">
        <f t="shared" si="18"/>
        <v>1.0570155498604072</v>
      </c>
      <c r="T37" s="237">
        <f>E37-листопад!E37</f>
        <v>9840</v>
      </c>
      <c r="U37" s="237">
        <f>F37-листопад!F37</f>
        <v>4194.969999999987</v>
      </c>
      <c r="V37" s="299">
        <f t="shared" si="12"/>
        <v>-5645.030000000013</v>
      </c>
      <c r="W37" s="341">
        <f t="shared" si="22"/>
        <v>42.6318089430893</v>
      </c>
      <c r="X37" s="363">
        <f t="shared" si="20"/>
        <v>-0.07510844466368405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f t="shared" si="21"/>
        <v>54968</v>
      </c>
      <c r="F38" s="373">
        <v>52129.82</v>
      </c>
      <c r="G38" s="385">
        <f t="shared" si="11"/>
        <v>-2838.1800000000003</v>
      </c>
      <c r="H38" s="387">
        <f t="shared" si="14"/>
        <v>0.9483666860718963</v>
      </c>
      <c r="I38" s="388">
        <f t="shared" si="1"/>
        <v>-2838.1800000000003</v>
      </c>
      <c r="J38" s="389">
        <f t="shared" si="19"/>
        <v>0.9483666860718963</v>
      </c>
      <c r="K38" s="299"/>
      <c r="L38" s="299"/>
      <c r="M38" s="299"/>
      <c r="N38" s="388">
        <v>46607.08</v>
      </c>
      <c r="O38" s="388">
        <f t="shared" si="16"/>
        <v>8360.919999999998</v>
      </c>
      <c r="P38" s="389">
        <f t="shared" si="17"/>
        <v>1.1793916289113155</v>
      </c>
      <c r="Q38" s="388">
        <f t="shared" si="5"/>
        <v>46607.08</v>
      </c>
      <c r="R38" s="388">
        <f t="shared" si="6"/>
        <v>5522.739999999998</v>
      </c>
      <c r="S38" s="389">
        <f t="shared" si="18"/>
        <v>1.1184957306915602</v>
      </c>
      <c r="T38" s="373">
        <f>E38-листопад!E38</f>
        <v>4600</v>
      </c>
      <c r="U38" s="373">
        <f>F38-листопад!F38</f>
        <v>1360.4099999999962</v>
      </c>
      <c r="V38" s="388">
        <f t="shared" si="12"/>
        <v>-3239.590000000004</v>
      </c>
      <c r="W38" s="389">
        <f t="shared" si="22"/>
        <v>29.574130434782525</v>
      </c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f t="shared" si="21"/>
        <v>103924</v>
      </c>
      <c r="F39" s="373">
        <v>96761.22</v>
      </c>
      <c r="G39" s="385">
        <f t="shared" si="11"/>
        <v>-7162.779999999999</v>
      </c>
      <c r="H39" s="387">
        <f t="shared" si="14"/>
        <v>0.9310767483930564</v>
      </c>
      <c r="I39" s="388">
        <f t="shared" si="1"/>
        <v>-7162.779999999999</v>
      </c>
      <c r="J39" s="389">
        <f t="shared" si="19"/>
        <v>0.9310767483930564</v>
      </c>
      <c r="K39" s="299"/>
      <c r="L39" s="299"/>
      <c r="M39" s="299"/>
      <c r="N39" s="388">
        <v>91357.39</v>
      </c>
      <c r="O39" s="388">
        <f t="shared" si="16"/>
        <v>12566.61</v>
      </c>
      <c r="P39" s="389">
        <f t="shared" si="17"/>
        <v>1.1375543894150215</v>
      </c>
      <c r="Q39" s="388">
        <f t="shared" si="5"/>
        <v>91357.39</v>
      </c>
      <c r="R39" s="388">
        <f t="shared" si="6"/>
        <v>5403.830000000002</v>
      </c>
      <c r="S39" s="389">
        <f t="shared" si="18"/>
        <v>1.059150442016787</v>
      </c>
      <c r="T39" s="373">
        <f>E39-листопад!E39</f>
        <v>8885</v>
      </c>
      <c r="U39" s="373">
        <f>F39-листопад!F39</f>
        <v>3078.0099999999948</v>
      </c>
      <c r="V39" s="388">
        <f t="shared" si="12"/>
        <v>-5806.990000000005</v>
      </c>
      <c r="W39" s="389">
        <f t="shared" si="22"/>
        <v>34.64276871131114</v>
      </c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f t="shared" si="21"/>
        <v>3565</v>
      </c>
      <c r="F40" s="373">
        <v>3321.58</v>
      </c>
      <c r="G40" s="385">
        <f t="shared" si="11"/>
        <v>-243.42000000000007</v>
      </c>
      <c r="H40" s="387">
        <f t="shared" si="14"/>
        <v>0.931719495091164</v>
      </c>
      <c r="I40" s="388">
        <f t="shared" si="1"/>
        <v>-243.42000000000007</v>
      </c>
      <c r="J40" s="389">
        <f t="shared" si="19"/>
        <v>0.931719495091164</v>
      </c>
      <c r="K40" s="299"/>
      <c r="L40" s="299"/>
      <c r="M40" s="299"/>
      <c r="N40" s="388">
        <v>3304.89</v>
      </c>
      <c r="O40" s="388">
        <f t="shared" si="16"/>
        <v>260.1100000000001</v>
      </c>
      <c r="P40" s="389">
        <f t="shared" si="17"/>
        <v>1.0787045862343376</v>
      </c>
      <c r="Q40" s="388">
        <f t="shared" si="5"/>
        <v>3304.89</v>
      </c>
      <c r="R40" s="388">
        <f t="shared" si="6"/>
        <v>16.690000000000055</v>
      </c>
      <c r="S40" s="389">
        <f t="shared" si="18"/>
        <v>1.0050500924387802</v>
      </c>
      <c r="T40" s="373">
        <f>E40-листопад!E40</f>
        <v>200</v>
      </c>
      <c r="U40" s="373">
        <f>F40-листопад!F40</f>
        <v>88.94999999999982</v>
      </c>
      <c r="V40" s="388">
        <f t="shared" si="12"/>
        <v>-111.05000000000018</v>
      </c>
      <c r="W40" s="389">
        <f t="shared" si="22"/>
        <v>44.47499999999991</v>
      </c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f t="shared" si="21"/>
        <v>20835</v>
      </c>
      <c r="F41" s="373">
        <v>19720.9</v>
      </c>
      <c r="G41" s="385">
        <f t="shared" si="11"/>
        <v>-1114.0999999999985</v>
      </c>
      <c r="H41" s="387">
        <f t="shared" si="14"/>
        <v>0.9465274778017759</v>
      </c>
      <c r="I41" s="388">
        <f t="shared" si="1"/>
        <v>-1114.0999999999985</v>
      </c>
      <c r="J41" s="389">
        <f t="shared" si="19"/>
        <v>0.9465274778017759</v>
      </c>
      <c r="K41" s="299"/>
      <c r="L41" s="299"/>
      <c r="M41" s="299"/>
      <c r="N41" s="388">
        <v>18841.68</v>
      </c>
      <c r="O41" s="388">
        <f t="shared" si="16"/>
        <v>1993.3199999999997</v>
      </c>
      <c r="P41" s="389">
        <f t="shared" si="17"/>
        <v>1.1057931139898354</v>
      </c>
      <c r="Q41" s="388">
        <f t="shared" si="5"/>
        <v>18841.68</v>
      </c>
      <c r="R41" s="388">
        <f t="shared" si="6"/>
        <v>879.2200000000012</v>
      </c>
      <c r="S41" s="389">
        <f t="shared" si="18"/>
        <v>1.0466635671553706</v>
      </c>
      <c r="T41" s="373">
        <f>E41-листопад!E41</f>
        <v>955</v>
      </c>
      <c r="U41" s="373">
        <f>F41-листопад!F41</f>
        <v>1116.9600000000028</v>
      </c>
      <c r="V41" s="388">
        <f t="shared" si="12"/>
        <v>161.96000000000276</v>
      </c>
      <c r="W41" s="389">
        <f t="shared" si="22"/>
        <v>116.95916230366521</v>
      </c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f t="shared" si="21"/>
        <v>0</v>
      </c>
      <c r="F42" s="199">
        <v>0.2</v>
      </c>
      <c r="G42" s="150">
        <f t="shared" si="11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6"/>
        <v>-0.15</v>
      </c>
      <c r="P42" s="210">
        <f t="shared" si="17"/>
        <v>0</v>
      </c>
      <c r="Q42" s="167">
        <f t="shared" si="5"/>
        <v>0.15</v>
      </c>
      <c r="R42" s="158">
        <f t="shared" si="6"/>
        <v>0.05000000000000002</v>
      </c>
      <c r="S42" s="210"/>
      <c r="T42" s="157">
        <f>E42-листопад!E42</f>
        <v>0</v>
      </c>
      <c r="U42" s="160">
        <f>F42-листопад!F42</f>
        <v>0</v>
      </c>
      <c r="V42" s="161">
        <f t="shared" si="12"/>
        <v>0</v>
      </c>
      <c r="W42" s="210"/>
      <c r="X42" s="363">
        <f t="shared" si="20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62">
        <f t="shared" si="21"/>
        <v>115</v>
      </c>
      <c r="F43" s="156">
        <v>156.8</v>
      </c>
      <c r="G43" s="150">
        <f t="shared" si="11"/>
        <v>41.80000000000001</v>
      </c>
      <c r="H43" s="375">
        <f>F43/E43</f>
        <v>1.3634782608695653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6"/>
        <v>-2.680000000000007</v>
      </c>
      <c r="P43" s="210">
        <f t="shared" si="17"/>
        <v>0.9772263766145479</v>
      </c>
      <c r="Q43" s="167">
        <f t="shared" si="5"/>
        <v>117.68</v>
      </c>
      <c r="R43" s="158">
        <f t="shared" si="6"/>
        <v>39.120000000000005</v>
      </c>
      <c r="S43" s="210">
        <f aca="true" t="shared" si="23" ref="S43:S51">F43/Q43</f>
        <v>1.3324269204622705</v>
      </c>
      <c r="T43" s="157">
        <f>E43-листопад!E43</f>
        <v>7.5</v>
      </c>
      <c r="U43" s="160">
        <f>F43-листопад!F43</f>
        <v>0</v>
      </c>
      <c r="V43" s="161">
        <f t="shared" si="12"/>
        <v>-7.5</v>
      </c>
      <c r="W43" s="210">
        <f>U43/T43</f>
        <v>0</v>
      </c>
      <c r="X43" s="363">
        <f t="shared" si="20"/>
        <v>0.3552005438477226</v>
      </c>
    </row>
    <row r="44" spans="1:24" s="6" customFormat="1" ht="15" hidden="1">
      <c r="A44" s="8"/>
      <c r="B44" s="50" t="s">
        <v>277</v>
      </c>
      <c r="C44" s="102">
        <v>18031000</v>
      </c>
      <c r="D44" s="103">
        <v>52</v>
      </c>
      <c r="E44" s="103">
        <f t="shared" si="21"/>
        <v>52</v>
      </c>
      <c r="F44" s="140">
        <v>95.14</v>
      </c>
      <c r="G44" s="103">
        <f t="shared" si="11"/>
        <v>43.14</v>
      </c>
      <c r="H44" s="376">
        <f>F44/E44</f>
        <v>1.8296153846153846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6"/>
        <v>-1.5499999999999972</v>
      </c>
      <c r="P44" s="109">
        <f t="shared" si="17"/>
        <v>0.9710550887021476</v>
      </c>
      <c r="Q44" s="104">
        <f t="shared" si="5"/>
        <v>53.55</v>
      </c>
      <c r="R44" s="104">
        <f t="shared" si="6"/>
        <v>41.59</v>
      </c>
      <c r="S44" s="109">
        <f t="shared" si="23"/>
        <v>1.7766573295985062</v>
      </c>
      <c r="T44" s="105">
        <f>E44-листопад!E44</f>
        <v>3.5</v>
      </c>
      <c r="U44" s="144">
        <f>F44-листопад!F44</f>
        <v>0</v>
      </c>
      <c r="V44" s="106">
        <f t="shared" si="12"/>
        <v>-3.5</v>
      </c>
      <c r="W44" s="109">
        <f>U44/T44</f>
        <v>0</v>
      </c>
      <c r="X44" s="363"/>
    </row>
    <row r="45" spans="1:24" s="6" customFormat="1" ht="15" hidden="1">
      <c r="A45" s="8"/>
      <c r="B45" s="50" t="s">
        <v>278</v>
      </c>
      <c r="C45" s="102">
        <v>18031100</v>
      </c>
      <c r="D45" s="103">
        <v>63</v>
      </c>
      <c r="E45" s="103">
        <f t="shared" si="21"/>
        <v>63</v>
      </c>
      <c r="F45" s="140">
        <v>61.66</v>
      </c>
      <c r="G45" s="103">
        <f t="shared" si="11"/>
        <v>-1.3400000000000034</v>
      </c>
      <c r="H45" s="376">
        <f>F45/E45</f>
        <v>0.9787301587301587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6"/>
        <v>-1.1400000000000006</v>
      </c>
      <c r="P45" s="109">
        <f t="shared" si="17"/>
        <v>0.9822263797942001</v>
      </c>
      <c r="Q45" s="104">
        <f t="shared" si="5"/>
        <v>64.14</v>
      </c>
      <c r="R45" s="104">
        <f t="shared" si="6"/>
        <v>-2.480000000000004</v>
      </c>
      <c r="S45" s="109">
        <f t="shared" si="23"/>
        <v>0.9613345806049267</v>
      </c>
      <c r="T45" s="105">
        <f>E45-листопад!E45</f>
        <v>4</v>
      </c>
      <c r="U45" s="144">
        <f>F45-листопад!F45</f>
        <v>0</v>
      </c>
      <c r="V45" s="106">
        <f t="shared" si="12"/>
        <v>-4</v>
      </c>
      <c r="W45" s="109">
        <f>U45/T45</f>
        <v>0</v>
      </c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-45.42</v>
      </c>
      <c r="G46" s="150">
        <f t="shared" si="11"/>
        <v>-45.42</v>
      </c>
      <c r="H46" s="375"/>
      <c r="I46" s="158">
        <f t="shared" si="1"/>
        <v>-45.42</v>
      </c>
      <c r="J46" s="210"/>
      <c r="K46" s="158"/>
      <c r="L46" s="158"/>
      <c r="M46" s="158"/>
      <c r="N46" s="158">
        <v>-177.97</v>
      </c>
      <c r="O46" s="158">
        <f t="shared" si="16"/>
        <v>177.97</v>
      </c>
      <c r="P46" s="210">
        <f t="shared" si="17"/>
        <v>0</v>
      </c>
      <c r="Q46" s="158">
        <f t="shared" si="5"/>
        <v>-177.97</v>
      </c>
      <c r="R46" s="158">
        <f t="shared" si="6"/>
        <v>132.55</v>
      </c>
      <c r="S46" s="210">
        <f t="shared" si="23"/>
        <v>0.2552115525088498</v>
      </c>
      <c r="T46" s="157">
        <f>E46-листопад!E46</f>
        <v>0</v>
      </c>
      <c r="U46" s="160">
        <f>F46-листопад!F46</f>
        <v>-2.539999999999999</v>
      </c>
      <c r="V46" s="161">
        <f t="shared" si="12"/>
        <v>-2.539999999999999</v>
      </c>
      <c r="W46" s="210"/>
      <c r="X46" s="363">
        <f t="shared" si="20"/>
        <v>0.2552115525088498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f aca="true" t="shared" si="24" ref="E47:E52">D47</f>
        <v>194394.1</v>
      </c>
      <c r="F47" s="163">
        <v>220731.12</v>
      </c>
      <c r="G47" s="150">
        <f t="shared" si="11"/>
        <v>26337.01999999999</v>
      </c>
      <c r="H47" s="375">
        <f>F47/E47*100</f>
        <v>113.54826098117175</v>
      </c>
      <c r="I47" s="158">
        <f t="shared" si="1"/>
        <v>26337.01999999999</v>
      </c>
      <c r="J47" s="210">
        <f>F47/D47</f>
        <v>1.1354826098117174</v>
      </c>
      <c r="K47" s="158"/>
      <c r="L47" s="158"/>
      <c r="M47" s="158"/>
      <c r="N47" s="158">
        <v>158268.6</v>
      </c>
      <c r="O47" s="158">
        <f t="shared" si="16"/>
        <v>36125.5</v>
      </c>
      <c r="P47" s="210">
        <f t="shared" si="17"/>
        <v>1.2282543726298205</v>
      </c>
      <c r="Q47" s="178">
        <f t="shared" si="5"/>
        <v>158268.6</v>
      </c>
      <c r="R47" s="178">
        <f t="shared" si="6"/>
        <v>62462.51999999999</v>
      </c>
      <c r="S47" s="226">
        <f t="shared" si="23"/>
        <v>1.3946614805463622</v>
      </c>
      <c r="T47" s="157">
        <f>E47-листопад!E47</f>
        <v>6639.100000000006</v>
      </c>
      <c r="U47" s="160">
        <f>F47-листопад!F47</f>
        <v>7930.369999999995</v>
      </c>
      <c r="V47" s="161">
        <f t="shared" si="12"/>
        <v>1291.2699999999895</v>
      </c>
      <c r="W47" s="210">
        <f>U47/T47</f>
        <v>1.194494735732251</v>
      </c>
      <c r="X47" s="363">
        <f t="shared" si="20"/>
        <v>0.16640710791654167</v>
      </c>
    </row>
    <row r="48" spans="1:24" s="6" customFormat="1" ht="15" customHeight="1" hidden="1">
      <c r="A48" s="8"/>
      <c r="B48" s="50" t="s">
        <v>90</v>
      </c>
      <c r="C48" s="102">
        <v>18050200</v>
      </c>
      <c r="D48" s="103">
        <v>0</v>
      </c>
      <c r="E48" s="103">
        <f t="shared" si="24"/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6"/>
        <v>-0.23</v>
      </c>
      <c r="P48" s="109">
        <f t="shared" si="17"/>
        <v>0</v>
      </c>
      <c r="Q48" s="127">
        <f t="shared" si="5"/>
        <v>0.23</v>
      </c>
      <c r="R48" s="127">
        <f t="shared" si="6"/>
        <v>-0.22</v>
      </c>
      <c r="S48" s="216">
        <f t="shared" si="23"/>
        <v>0.043478260869565216</v>
      </c>
      <c r="T48" s="105">
        <f>E48-листопад!E48</f>
        <v>0</v>
      </c>
      <c r="U48" s="144">
        <f>F48-листопад!F48</f>
        <v>0</v>
      </c>
      <c r="V48" s="106">
        <f t="shared" si="12"/>
        <v>0</v>
      </c>
      <c r="W48" s="109"/>
      <c r="X48" s="363">
        <f t="shared" si="20"/>
        <v>0.043478260869565216</v>
      </c>
    </row>
    <row r="49" spans="1:24" s="6" customFormat="1" ht="15" customHeight="1" hidden="1">
      <c r="A49" s="8"/>
      <c r="B49" s="50" t="s">
        <v>91</v>
      </c>
      <c r="C49" s="102">
        <v>18050300</v>
      </c>
      <c r="D49" s="103">
        <v>41000</v>
      </c>
      <c r="E49" s="103">
        <f t="shared" si="24"/>
        <v>41000</v>
      </c>
      <c r="F49" s="140">
        <v>44358.75</v>
      </c>
      <c r="G49" s="103">
        <f>F49-E49</f>
        <v>3358.75</v>
      </c>
      <c r="H49" s="376">
        <f>F49/E49</f>
        <v>1.0819207317073172</v>
      </c>
      <c r="I49" s="104">
        <f t="shared" si="1"/>
        <v>3358.75</v>
      </c>
      <c r="J49" s="109">
        <f>F49/D49</f>
        <v>1.0819207317073172</v>
      </c>
      <c r="K49" s="104"/>
      <c r="L49" s="104"/>
      <c r="M49" s="104"/>
      <c r="N49" s="104">
        <v>39173.72</v>
      </c>
      <c r="O49" s="104">
        <f t="shared" si="16"/>
        <v>1826.2799999999988</v>
      </c>
      <c r="P49" s="109">
        <f t="shared" si="17"/>
        <v>1.0466200299588602</v>
      </c>
      <c r="Q49" s="127">
        <f t="shared" si="5"/>
        <v>39173.72</v>
      </c>
      <c r="R49" s="127">
        <f t="shared" si="6"/>
        <v>5185.029999999999</v>
      </c>
      <c r="S49" s="216">
        <f t="shared" si="23"/>
        <v>1.1323599086326241</v>
      </c>
      <c r="T49" s="105">
        <f>E49-листопад!E49</f>
        <v>1500</v>
      </c>
      <c r="U49" s="144">
        <f>F49-листопад!F49</f>
        <v>1044.6399999999994</v>
      </c>
      <c r="V49" s="106">
        <f t="shared" si="12"/>
        <v>-455.3600000000006</v>
      </c>
      <c r="W49" s="109">
        <f>U49/T49</f>
        <v>0.6964266666666663</v>
      </c>
      <c r="X49" s="363">
        <f t="shared" si="20"/>
        <v>0.08573987867376398</v>
      </c>
    </row>
    <row r="50" spans="1:24" s="6" customFormat="1" ht="15" customHeight="1" hidden="1">
      <c r="A50" s="8"/>
      <c r="B50" s="50" t="s">
        <v>92</v>
      </c>
      <c r="C50" s="102">
        <v>18050400</v>
      </c>
      <c r="D50" s="103">
        <v>153339.1</v>
      </c>
      <c r="E50" s="103">
        <f t="shared" si="24"/>
        <v>153339.1</v>
      </c>
      <c r="F50" s="140">
        <v>176307.39</v>
      </c>
      <c r="G50" s="103">
        <f>F50-E50</f>
        <v>22968.290000000008</v>
      </c>
      <c r="H50" s="376">
        <f>F50/E50</f>
        <v>1.1497875623373295</v>
      </c>
      <c r="I50" s="104">
        <f t="shared" si="1"/>
        <v>22968.290000000008</v>
      </c>
      <c r="J50" s="109">
        <f>F50/D50</f>
        <v>1.1497875623373295</v>
      </c>
      <c r="K50" s="104"/>
      <c r="L50" s="104"/>
      <c r="M50" s="104"/>
      <c r="N50" s="104">
        <v>119039.46</v>
      </c>
      <c r="O50" s="104">
        <f t="shared" si="16"/>
        <v>34299.64</v>
      </c>
      <c r="P50" s="109">
        <f t="shared" si="17"/>
        <v>1.2881367237384982</v>
      </c>
      <c r="Q50" s="127">
        <f t="shared" si="5"/>
        <v>119039.46</v>
      </c>
      <c r="R50" s="127">
        <f t="shared" si="6"/>
        <v>57267.93000000001</v>
      </c>
      <c r="S50" s="216">
        <f t="shared" si="23"/>
        <v>1.4810835835444818</v>
      </c>
      <c r="T50" s="105">
        <f>E50-листопад!E50</f>
        <v>5139.100000000006</v>
      </c>
      <c r="U50" s="144">
        <f>F50-листопад!F50</f>
        <v>6885.74000000002</v>
      </c>
      <c r="V50" s="106">
        <f t="shared" si="12"/>
        <v>1746.640000000014</v>
      </c>
      <c r="W50" s="109">
        <f>U50/T50</f>
        <v>1.339872740363101</v>
      </c>
      <c r="X50" s="363">
        <f t="shared" si="20"/>
        <v>0.19294685980598358</v>
      </c>
    </row>
    <row r="51" spans="1:24" s="6" customFormat="1" ht="15" customHeight="1" hidden="1">
      <c r="A51" s="8"/>
      <c r="B51" s="50" t="s">
        <v>93</v>
      </c>
      <c r="C51" s="102">
        <v>18050500</v>
      </c>
      <c r="D51" s="103">
        <v>55</v>
      </c>
      <c r="E51" s="103">
        <f t="shared" si="24"/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6"/>
        <v>-0.17999999999999972</v>
      </c>
      <c r="P51" s="109">
        <f t="shared" si="17"/>
        <v>0.9967379485320769</v>
      </c>
      <c r="Q51" s="127">
        <f t="shared" si="5"/>
        <v>55.18</v>
      </c>
      <c r="R51" s="127">
        <f t="shared" si="6"/>
        <v>9.79</v>
      </c>
      <c r="S51" s="216">
        <f t="shared" si="23"/>
        <v>1.1774193548387097</v>
      </c>
      <c r="T51" s="105">
        <f>E51-листопад!E51</f>
        <v>0</v>
      </c>
      <c r="U51" s="144">
        <f>F51-листопад!F51</f>
        <v>0</v>
      </c>
      <c r="V51" s="106">
        <f t="shared" si="12"/>
        <v>0</v>
      </c>
      <c r="W51" s="109"/>
      <c r="X51" s="363">
        <f t="shared" si="20"/>
        <v>0.18068140630663287</v>
      </c>
    </row>
    <row r="52" spans="1:24" s="6" customFormat="1" ht="15" customHeight="1" hidden="1">
      <c r="A52" s="8"/>
      <c r="B52" s="232"/>
      <c r="C52" s="43"/>
      <c r="D52" s="34">
        <v>0</v>
      </c>
      <c r="E52" s="34">
        <f t="shared" si="24"/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6"/>
        <v>0</v>
      </c>
      <c r="S52" s="217"/>
      <c r="T52" s="137">
        <f>E52-листопад!E52</f>
        <v>0</v>
      </c>
      <c r="U52" s="145">
        <f>F52-листопад!F52</f>
        <v>0</v>
      </c>
      <c r="V52" s="161">
        <f t="shared" si="12"/>
        <v>0</v>
      </c>
      <c r="W52" s="94"/>
      <c r="X52" s="363">
        <f t="shared" si="20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63295</v>
      </c>
      <c r="F53" s="151">
        <f>F54+F55+F56+F57+F58+F60+F62+F63+F64+F65+F66+F71+F72+F76+F59+F61</f>
        <v>68645.36</v>
      </c>
      <c r="G53" s="151">
        <f>G54+G55+G56+G57+G58+G60+G62+G63+G64+G65+G66+G71+G72+G76+G59+G61</f>
        <v>5350.359999999998</v>
      </c>
      <c r="H53" s="205">
        <f aca="true" t="shared" si="25" ref="H53:H72">F53/E53</f>
        <v>1.0845305316375702</v>
      </c>
      <c r="I53" s="153">
        <f>F53-D53</f>
        <v>5350.360000000001</v>
      </c>
      <c r="J53" s="219">
        <f aca="true" t="shared" si="26" ref="J53:J72">F53/D53</f>
        <v>1.0845305316375702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f>N53</f>
        <v>68752.68</v>
      </c>
      <c r="R53" s="151">
        <f t="shared" si="6"/>
        <v>-107.31999999999243</v>
      </c>
      <c r="S53" s="205">
        <f>F53/Q53</f>
        <v>0.9984390426671369</v>
      </c>
      <c r="T53" s="151">
        <f>T54+T55+T56+T57+T58+T60+T62+T63+T64+T65+T66+T71+T72+T76+T59+T61</f>
        <v>1117.1</v>
      </c>
      <c r="U53" s="151">
        <f>U54+U55+U56+U57+U58+U60+U62+U63+U64+U65+U66+U71+U72+U76+U59+U61</f>
        <v>5955.429999999999</v>
      </c>
      <c r="V53" s="151">
        <f>V54+V55+V56+V57+V58+V60+V62+V63+V64+V65+V66+V71+V72+V76</f>
        <v>4830.329999999998</v>
      </c>
      <c r="W53" s="205">
        <f>U53/T53</f>
        <v>5.3311520902336405</v>
      </c>
      <c r="X53" s="363">
        <f t="shared" si="20"/>
        <v>0.0778203846017348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f>D54</f>
        <v>580</v>
      </c>
      <c r="F54" s="156">
        <v>2633.96</v>
      </c>
      <c r="G54" s="150">
        <f aca="true" t="shared" si="27" ref="G54:G78">F54-E54</f>
        <v>2053.96</v>
      </c>
      <c r="H54" s="380">
        <f t="shared" si="25"/>
        <v>4.541310344827586</v>
      </c>
      <c r="I54" s="165">
        <f>F54-D54</f>
        <v>2053.96</v>
      </c>
      <c r="J54" s="218">
        <f t="shared" si="26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f>N54</f>
        <v>551.04</v>
      </c>
      <c r="R54" s="165">
        <f t="shared" si="6"/>
        <v>2082.92</v>
      </c>
      <c r="S54" s="218">
        <f>F54/Q54</f>
        <v>4.779979674796748</v>
      </c>
      <c r="T54" s="157">
        <f>E54-листопад!E54</f>
        <v>0</v>
      </c>
      <c r="U54" s="160">
        <f>F54-листопад!F54</f>
        <v>0</v>
      </c>
      <c r="V54" s="161">
        <f aca="true" t="shared" si="28" ref="V54:V78">U54-T54</f>
        <v>0</v>
      </c>
      <c r="W54" s="218" t="e">
        <f>U54/T54</f>
        <v>#DIV/0!</v>
      </c>
      <c r="X54" s="363">
        <f t="shared" si="20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f aca="true" t="shared" si="29" ref="E55:E65">D55</f>
        <v>26400</v>
      </c>
      <c r="F55" s="156">
        <v>27997.6</v>
      </c>
      <c r="G55" s="150">
        <f t="shared" si="27"/>
        <v>1597.5999999999985</v>
      </c>
      <c r="H55" s="380">
        <f t="shared" si="25"/>
        <v>1.0605151515151514</v>
      </c>
      <c r="I55" s="165">
        <f aca="true" t="shared" si="30" ref="I55:I78">F55-D55</f>
        <v>1597.5999999999985</v>
      </c>
      <c r="J55" s="218">
        <f t="shared" si="26"/>
        <v>1.0605151515151514</v>
      </c>
      <c r="K55" s="165"/>
      <c r="L55" s="165"/>
      <c r="M55" s="165"/>
      <c r="N55" s="165">
        <v>36136.57</v>
      </c>
      <c r="O55" s="165">
        <f aca="true" t="shared" si="31" ref="O55:O72">D55-N55</f>
        <v>-9736.57</v>
      </c>
      <c r="P55" s="218">
        <f aca="true" t="shared" si="32" ref="P55:P72">D55/N55</f>
        <v>0.7305618657221756</v>
      </c>
      <c r="Q55" s="165">
        <f aca="true" t="shared" si="33" ref="Q55:Q66">N55</f>
        <v>36136.57</v>
      </c>
      <c r="R55" s="165">
        <f t="shared" si="6"/>
        <v>-8138.970000000001</v>
      </c>
      <c r="S55" s="218">
        <f aca="true" t="shared" si="34" ref="S55:S78">F55/Q55</f>
        <v>0.7747719277175448</v>
      </c>
      <c r="T55" s="157">
        <f>E55-листопад!E55</f>
        <v>0</v>
      </c>
      <c r="U55" s="160">
        <f>F55-листопад!F55</f>
        <v>3307.459999999999</v>
      </c>
      <c r="V55" s="161">
        <f t="shared" si="28"/>
        <v>3307.459999999999</v>
      </c>
      <c r="W55" s="218" t="e">
        <f aca="true" t="shared" si="35" ref="W55:W77">U55/T55</f>
        <v>#DIV/0!</v>
      </c>
      <c r="X55" s="363">
        <f t="shared" si="20"/>
        <v>0.04421006199536914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f t="shared" si="29"/>
        <v>40</v>
      </c>
      <c r="F56" s="156">
        <v>153.3</v>
      </c>
      <c r="G56" s="150">
        <f t="shared" si="27"/>
        <v>113.30000000000001</v>
      </c>
      <c r="H56" s="380">
        <f t="shared" si="25"/>
        <v>3.8325000000000005</v>
      </c>
      <c r="I56" s="165">
        <f t="shared" si="30"/>
        <v>113.30000000000001</v>
      </c>
      <c r="J56" s="218">
        <f t="shared" si="26"/>
        <v>3.8325000000000005</v>
      </c>
      <c r="K56" s="165"/>
      <c r="L56" s="165"/>
      <c r="M56" s="165"/>
      <c r="N56" s="165">
        <v>31.98</v>
      </c>
      <c r="O56" s="165">
        <f t="shared" si="31"/>
        <v>8.02</v>
      </c>
      <c r="P56" s="218">
        <f t="shared" si="32"/>
        <v>1.2507817385866167</v>
      </c>
      <c r="Q56" s="165">
        <f t="shared" si="33"/>
        <v>31.98</v>
      </c>
      <c r="R56" s="165">
        <f t="shared" si="6"/>
        <v>121.32000000000001</v>
      </c>
      <c r="S56" s="218">
        <f t="shared" si="34"/>
        <v>4.793621013133208</v>
      </c>
      <c r="T56" s="157">
        <f>E56-листопад!E56</f>
        <v>13</v>
      </c>
      <c r="U56" s="160">
        <f>F56-листопад!F56</f>
        <v>10</v>
      </c>
      <c r="V56" s="161">
        <f t="shared" si="28"/>
        <v>-3</v>
      </c>
      <c r="W56" s="218">
        <f t="shared" si="35"/>
        <v>0.7692307692307693</v>
      </c>
      <c r="X56" s="363">
        <f t="shared" si="20"/>
        <v>3.5428392745465915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f t="shared" si="29"/>
        <v>13</v>
      </c>
      <c r="F57" s="156">
        <v>12.95</v>
      </c>
      <c r="G57" s="150">
        <f t="shared" si="27"/>
        <v>-0.05000000000000071</v>
      </c>
      <c r="H57" s="380">
        <f t="shared" si="25"/>
        <v>0.9961538461538461</v>
      </c>
      <c r="I57" s="165">
        <f t="shared" si="30"/>
        <v>-0.05000000000000071</v>
      </c>
      <c r="J57" s="218">
        <f t="shared" si="26"/>
        <v>0.9961538461538461</v>
      </c>
      <c r="K57" s="165"/>
      <c r="L57" s="165"/>
      <c r="M57" s="165"/>
      <c r="N57" s="165">
        <v>0.1</v>
      </c>
      <c r="O57" s="165">
        <f t="shared" si="31"/>
        <v>12.9</v>
      </c>
      <c r="P57" s="392">
        <f t="shared" si="32"/>
        <v>130</v>
      </c>
      <c r="Q57" s="165">
        <f t="shared" si="33"/>
        <v>0.1</v>
      </c>
      <c r="R57" s="165">
        <f t="shared" si="6"/>
        <v>12.85</v>
      </c>
      <c r="S57" s="218"/>
      <c r="T57" s="157">
        <f>E57-листопад!E57</f>
        <v>0</v>
      </c>
      <c r="U57" s="160">
        <f>F57-листопад!F57</f>
        <v>0</v>
      </c>
      <c r="V57" s="161">
        <f t="shared" si="28"/>
        <v>0</v>
      </c>
      <c r="W57" s="218" t="e">
        <f t="shared" si="35"/>
        <v>#DIV/0!</v>
      </c>
      <c r="X57" s="363">
        <f t="shared" si="20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f t="shared" si="29"/>
        <v>660</v>
      </c>
      <c r="F58" s="156">
        <v>692.13</v>
      </c>
      <c r="G58" s="150">
        <f t="shared" si="27"/>
        <v>32.129999999999995</v>
      </c>
      <c r="H58" s="380">
        <f t="shared" si="25"/>
        <v>1.0486818181818183</v>
      </c>
      <c r="I58" s="165">
        <f t="shared" si="30"/>
        <v>32.129999999999995</v>
      </c>
      <c r="J58" s="218">
        <f t="shared" si="26"/>
        <v>1.0486818181818183</v>
      </c>
      <c r="K58" s="165"/>
      <c r="L58" s="165"/>
      <c r="M58" s="165"/>
      <c r="N58" s="165">
        <v>241.07</v>
      </c>
      <c r="O58" s="165">
        <f t="shared" si="31"/>
        <v>418.93</v>
      </c>
      <c r="P58" s="218">
        <f t="shared" si="32"/>
        <v>2.7377940017422326</v>
      </c>
      <c r="Q58" s="165">
        <f t="shared" si="33"/>
        <v>241.07</v>
      </c>
      <c r="R58" s="165">
        <f t="shared" si="6"/>
        <v>451.06</v>
      </c>
      <c r="S58" s="218">
        <f t="shared" si="34"/>
        <v>2.8710747915543204</v>
      </c>
      <c r="T58" s="157">
        <f>E58-листопад!E58</f>
        <v>22</v>
      </c>
      <c r="U58" s="160">
        <f>F58-листопад!F58</f>
        <v>21.529999999999973</v>
      </c>
      <c r="V58" s="161">
        <f t="shared" si="28"/>
        <v>-0.4700000000000273</v>
      </c>
      <c r="W58" s="218">
        <f t="shared" si="35"/>
        <v>0.9786363636363624</v>
      </c>
      <c r="X58" s="363">
        <f t="shared" si="20"/>
        <v>0.1332807898120878</v>
      </c>
    </row>
    <row r="59" spans="1:24" s="6" customFormat="1" ht="46.5">
      <c r="A59" s="8"/>
      <c r="B59" s="349" t="s">
        <v>80</v>
      </c>
      <c r="C59" s="72">
        <v>21081500</v>
      </c>
      <c r="D59" s="150">
        <v>97.5</v>
      </c>
      <c r="E59" s="150">
        <f t="shared" si="29"/>
        <v>97.5</v>
      </c>
      <c r="F59" s="156">
        <v>122.25</v>
      </c>
      <c r="G59" s="150">
        <f t="shared" si="27"/>
        <v>24.75</v>
      </c>
      <c r="H59" s="380">
        <f t="shared" si="25"/>
        <v>1.2538461538461538</v>
      </c>
      <c r="I59" s="165">
        <f t="shared" si="30"/>
        <v>24.75</v>
      </c>
      <c r="J59" s="218">
        <f t="shared" si="26"/>
        <v>1.2538461538461538</v>
      </c>
      <c r="K59" s="165"/>
      <c r="L59" s="165"/>
      <c r="M59" s="165"/>
      <c r="N59" s="165">
        <v>86.37</v>
      </c>
      <c r="O59" s="165">
        <f t="shared" si="31"/>
        <v>11.129999999999995</v>
      </c>
      <c r="P59" s="218">
        <f t="shared" si="32"/>
        <v>1.1288641889544981</v>
      </c>
      <c r="Q59" s="165">
        <f t="shared" si="33"/>
        <v>86.37</v>
      </c>
      <c r="R59" s="165">
        <f t="shared" si="6"/>
        <v>35.879999999999995</v>
      </c>
      <c r="S59" s="218">
        <f t="shared" si="34"/>
        <v>1.4154220215352553</v>
      </c>
      <c r="T59" s="157">
        <f>E59-листопад!E59</f>
        <v>9.099999999999994</v>
      </c>
      <c r="U59" s="160">
        <f>F59-листопад!F59</f>
        <v>17.099999999999994</v>
      </c>
      <c r="V59" s="161">
        <f t="shared" si="28"/>
        <v>8</v>
      </c>
      <c r="W59" s="218">
        <f t="shared" si="35"/>
        <v>1.8791208791208798</v>
      </c>
      <c r="X59" s="363">
        <f t="shared" si="20"/>
        <v>0.2865578325807572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f t="shared" si="29"/>
        <v>980</v>
      </c>
      <c r="F60" s="156">
        <v>1173.38</v>
      </c>
      <c r="G60" s="150">
        <f t="shared" si="27"/>
        <v>193.3800000000001</v>
      </c>
      <c r="H60" s="380">
        <f t="shared" si="25"/>
        <v>1.197326530612245</v>
      </c>
      <c r="I60" s="165">
        <f t="shared" si="30"/>
        <v>193.3800000000001</v>
      </c>
      <c r="J60" s="218">
        <f t="shared" si="26"/>
        <v>1.197326530612245</v>
      </c>
      <c r="K60" s="165"/>
      <c r="L60" s="165"/>
      <c r="M60" s="165"/>
      <c r="N60" s="165">
        <v>791.33</v>
      </c>
      <c r="O60" s="165">
        <f t="shared" si="31"/>
        <v>188.66999999999996</v>
      </c>
      <c r="P60" s="218">
        <f t="shared" si="32"/>
        <v>1.238421391834001</v>
      </c>
      <c r="Q60" s="165">
        <f t="shared" si="33"/>
        <v>791.33</v>
      </c>
      <c r="R60" s="165">
        <f t="shared" si="6"/>
        <v>382.05000000000007</v>
      </c>
      <c r="S60" s="218">
        <f t="shared" si="34"/>
        <v>1.4827947885205919</v>
      </c>
      <c r="T60" s="157">
        <f>E60-листопад!E60</f>
        <v>20</v>
      </c>
      <c r="U60" s="160">
        <f>F60-листопад!F60</f>
        <v>76.23000000000002</v>
      </c>
      <c r="V60" s="161">
        <f t="shared" si="28"/>
        <v>56.23000000000002</v>
      </c>
      <c r="W60" s="218">
        <f t="shared" si="35"/>
        <v>3.811500000000001</v>
      </c>
      <c r="X60" s="363">
        <f t="shared" si="20"/>
        <v>0.24437339668659086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f t="shared" si="29"/>
        <v>23</v>
      </c>
      <c r="F61" s="156">
        <v>23.38</v>
      </c>
      <c r="G61" s="150">
        <f t="shared" si="27"/>
        <v>0.379999999999999</v>
      </c>
      <c r="H61" s="380">
        <f t="shared" si="25"/>
        <v>1.0165217391304346</v>
      </c>
      <c r="I61" s="165">
        <f t="shared" si="30"/>
        <v>0.379999999999999</v>
      </c>
      <c r="J61" s="218">
        <f t="shared" si="26"/>
        <v>1.0165217391304346</v>
      </c>
      <c r="K61" s="165"/>
      <c r="L61" s="165"/>
      <c r="M61" s="165"/>
      <c r="N61" s="165">
        <v>0</v>
      </c>
      <c r="O61" s="165">
        <f t="shared" si="31"/>
        <v>23</v>
      </c>
      <c r="P61" s="218" t="e">
        <f t="shared" si="32"/>
        <v>#DIV/0!</v>
      </c>
      <c r="Q61" s="165">
        <f t="shared" si="33"/>
        <v>0</v>
      </c>
      <c r="R61" s="165">
        <f t="shared" si="6"/>
        <v>23.38</v>
      </c>
      <c r="S61" s="218"/>
      <c r="T61" s="157">
        <f>E61-листопад!E61</f>
        <v>0</v>
      </c>
      <c r="U61" s="160">
        <f>F61-листопад!F61</f>
        <v>0</v>
      </c>
      <c r="V61" s="161">
        <f t="shared" si="28"/>
        <v>0</v>
      </c>
      <c r="W61" s="218" t="e">
        <f t="shared" si="35"/>
        <v>#DIV/0!</v>
      </c>
      <c r="X61" s="363" t="e">
        <f t="shared" si="20"/>
        <v>#DIV/0!</v>
      </c>
    </row>
    <row r="62" spans="1:24" s="6" customFormat="1" ht="18">
      <c r="A62" s="8"/>
      <c r="B62" s="355" t="s">
        <v>78</v>
      </c>
      <c r="C62" s="72">
        <v>22012500</v>
      </c>
      <c r="D62" s="150">
        <v>19000</v>
      </c>
      <c r="E62" s="150">
        <f t="shared" si="29"/>
        <v>19000</v>
      </c>
      <c r="F62" s="156">
        <v>19706.67</v>
      </c>
      <c r="G62" s="150">
        <f t="shared" si="27"/>
        <v>706.6699999999983</v>
      </c>
      <c r="H62" s="380">
        <f t="shared" si="25"/>
        <v>1.0371931578947367</v>
      </c>
      <c r="I62" s="165">
        <f t="shared" si="30"/>
        <v>706.6699999999983</v>
      </c>
      <c r="J62" s="218">
        <f t="shared" si="26"/>
        <v>1.0371931578947367</v>
      </c>
      <c r="K62" s="165"/>
      <c r="L62" s="165"/>
      <c r="M62" s="165"/>
      <c r="N62" s="165">
        <v>11422.5</v>
      </c>
      <c r="O62" s="165">
        <f t="shared" si="31"/>
        <v>7577.5</v>
      </c>
      <c r="P62" s="218">
        <f t="shared" si="32"/>
        <v>1.663383672576056</v>
      </c>
      <c r="Q62" s="165">
        <f t="shared" si="33"/>
        <v>11422.5</v>
      </c>
      <c r="R62" s="165">
        <f t="shared" si="6"/>
        <v>8284.169999999998</v>
      </c>
      <c r="S62" s="218">
        <f t="shared" si="34"/>
        <v>1.7252501641497044</v>
      </c>
      <c r="T62" s="157">
        <f>E62-листопад!E62</f>
        <v>700</v>
      </c>
      <c r="U62" s="160">
        <f>F62-листопад!F62</f>
        <v>1265.3199999999997</v>
      </c>
      <c r="V62" s="161">
        <f t="shared" si="28"/>
        <v>565.3199999999997</v>
      </c>
      <c r="W62" s="218">
        <f t="shared" si="35"/>
        <v>1.8075999999999997</v>
      </c>
      <c r="X62" s="363">
        <f t="shared" si="20"/>
        <v>0.06186649157364843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f t="shared" si="29"/>
        <v>530</v>
      </c>
      <c r="F63" s="156">
        <v>694.9</v>
      </c>
      <c r="G63" s="150">
        <f t="shared" si="27"/>
        <v>164.89999999999998</v>
      </c>
      <c r="H63" s="380">
        <f t="shared" si="25"/>
        <v>1.311132075471698</v>
      </c>
      <c r="I63" s="165">
        <f t="shared" si="30"/>
        <v>164.89999999999998</v>
      </c>
      <c r="J63" s="218">
        <f t="shared" si="26"/>
        <v>1.311132075471698</v>
      </c>
      <c r="K63" s="165"/>
      <c r="L63" s="165"/>
      <c r="M63" s="165"/>
      <c r="N63" s="165">
        <v>323.25</v>
      </c>
      <c r="O63" s="165">
        <f t="shared" si="31"/>
        <v>206.75</v>
      </c>
      <c r="P63" s="218">
        <f t="shared" si="32"/>
        <v>1.639597834493426</v>
      </c>
      <c r="Q63" s="165">
        <f t="shared" si="33"/>
        <v>323.25</v>
      </c>
      <c r="R63" s="165">
        <f t="shared" si="6"/>
        <v>371.65</v>
      </c>
      <c r="S63" s="218">
        <f t="shared" si="34"/>
        <v>2.1497293116782674</v>
      </c>
      <c r="T63" s="157">
        <f>E63-листопад!E63</f>
        <v>25</v>
      </c>
      <c r="U63" s="160">
        <f>F63-листопад!F63</f>
        <v>81.72000000000003</v>
      </c>
      <c r="V63" s="161">
        <f t="shared" si="28"/>
        <v>56.72000000000003</v>
      </c>
      <c r="W63" s="218">
        <f t="shared" si="35"/>
        <v>3.268800000000001</v>
      </c>
      <c r="X63" s="363">
        <f t="shared" si="20"/>
        <v>0.5101314771848413</v>
      </c>
    </row>
    <row r="64" spans="1:24" s="6" customFormat="1" ht="31.5">
      <c r="A64" s="8"/>
      <c r="B64" s="33" t="s">
        <v>106</v>
      </c>
      <c r="C64" s="72">
        <v>22012900</v>
      </c>
      <c r="D64" s="150">
        <v>20</v>
      </c>
      <c r="E64" s="150">
        <f t="shared" si="29"/>
        <v>20</v>
      </c>
      <c r="F64" s="156">
        <v>39.04</v>
      </c>
      <c r="G64" s="150">
        <f t="shared" si="27"/>
        <v>19.04</v>
      </c>
      <c r="H64" s="380">
        <f t="shared" si="25"/>
        <v>1.952</v>
      </c>
      <c r="I64" s="165">
        <f t="shared" si="30"/>
        <v>19.04</v>
      </c>
      <c r="J64" s="218">
        <f t="shared" si="26"/>
        <v>1.952</v>
      </c>
      <c r="K64" s="165"/>
      <c r="L64" s="165"/>
      <c r="M64" s="165"/>
      <c r="N64" s="165">
        <v>22.36</v>
      </c>
      <c r="O64" s="165">
        <f t="shared" si="31"/>
        <v>-2.3599999999999994</v>
      </c>
      <c r="P64" s="218">
        <f t="shared" si="32"/>
        <v>0.8944543828264758</v>
      </c>
      <c r="Q64" s="165">
        <f t="shared" si="33"/>
        <v>22.36</v>
      </c>
      <c r="R64" s="165">
        <f t="shared" si="6"/>
        <v>16.68</v>
      </c>
      <c r="S64" s="218">
        <f t="shared" si="34"/>
        <v>1.745974955277281</v>
      </c>
      <c r="T64" s="157">
        <f>E64-листопад!E64</f>
        <v>1</v>
      </c>
      <c r="U64" s="160">
        <f>F64-листопад!F64</f>
        <v>0.9600000000000009</v>
      </c>
      <c r="V64" s="161">
        <f t="shared" si="28"/>
        <v>-0.03999999999999915</v>
      </c>
      <c r="W64" s="218">
        <f t="shared" si="35"/>
        <v>0.9600000000000009</v>
      </c>
      <c r="X64" s="363">
        <f t="shared" si="20"/>
        <v>0.8515205724508051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f t="shared" si="29"/>
        <v>6452</v>
      </c>
      <c r="F65" s="156">
        <v>6545.96</v>
      </c>
      <c r="G65" s="150">
        <f t="shared" si="27"/>
        <v>93.96000000000004</v>
      </c>
      <c r="H65" s="380">
        <f t="shared" si="25"/>
        <v>1.0145629262244265</v>
      </c>
      <c r="I65" s="165">
        <f t="shared" si="30"/>
        <v>93.96000000000004</v>
      </c>
      <c r="J65" s="218">
        <f t="shared" si="26"/>
        <v>1.0145629262244265</v>
      </c>
      <c r="K65" s="165"/>
      <c r="L65" s="165"/>
      <c r="M65" s="165"/>
      <c r="N65" s="165">
        <v>7230.43</v>
      </c>
      <c r="O65" s="165">
        <f t="shared" si="31"/>
        <v>-778.4300000000003</v>
      </c>
      <c r="P65" s="218">
        <f t="shared" si="32"/>
        <v>0.8923397363642273</v>
      </c>
      <c r="Q65" s="165">
        <f t="shared" si="33"/>
        <v>7230.43</v>
      </c>
      <c r="R65" s="165">
        <f t="shared" si="6"/>
        <v>-684.4700000000003</v>
      </c>
      <c r="S65" s="218">
        <f t="shared" si="34"/>
        <v>0.9053348141120238</v>
      </c>
      <c r="T65" s="157">
        <f>E65-листопад!E65</f>
        <v>5</v>
      </c>
      <c r="U65" s="160">
        <f>F65-листопад!F65</f>
        <v>620.3599999999997</v>
      </c>
      <c r="V65" s="161">
        <f t="shared" si="28"/>
        <v>615.3599999999997</v>
      </c>
      <c r="W65" s="218">
        <f t="shared" si="35"/>
        <v>124.07199999999993</v>
      </c>
      <c r="X65" s="363">
        <f t="shared" si="20"/>
        <v>0.012995077747796513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f aca="true" t="shared" si="36" ref="E66:E72">D66</f>
        <v>987</v>
      </c>
      <c r="F66" s="156">
        <v>830.48</v>
      </c>
      <c r="G66" s="150">
        <f t="shared" si="27"/>
        <v>-156.51999999999998</v>
      </c>
      <c r="H66" s="380">
        <f t="shared" si="25"/>
        <v>0.841418439716312</v>
      </c>
      <c r="I66" s="165">
        <f t="shared" si="30"/>
        <v>-156.51999999999998</v>
      </c>
      <c r="J66" s="218">
        <f t="shared" si="26"/>
        <v>0.841418439716312</v>
      </c>
      <c r="K66" s="165"/>
      <c r="L66" s="165"/>
      <c r="M66" s="165"/>
      <c r="N66" s="165">
        <v>5161.34</v>
      </c>
      <c r="O66" s="165">
        <f t="shared" si="31"/>
        <v>-4174.34</v>
      </c>
      <c r="P66" s="218">
        <f t="shared" si="32"/>
        <v>0.19122940941693437</v>
      </c>
      <c r="Q66" s="165">
        <f t="shared" si="33"/>
        <v>5161.34</v>
      </c>
      <c r="R66" s="165">
        <f t="shared" si="6"/>
        <v>-4330.860000000001</v>
      </c>
      <c r="S66" s="218">
        <f t="shared" si="34"/>
        <v>0.16090395129946874</v>
      </c>
      <c r="T66" s="157">
        <f>E66-листопад!E66</f>
        <v>2</v>
      </c>
      <c r="U66" s="160">
        <f>F66-листопад!F66</f>
        <v>44.89999999999998</v>
      </c>
      <c r="V66" s="161">
        <f t="shared" si="28"/>
        <v>42.89999999999998</v>
      </c>
      <c r="W66" s="218">
        <f t="shared" si="35"/>
        <v>22.44999999999999</v>
      </c>
      <c r="X66" s="363">
        <f t="shared" si="20"/>
        <v>-0.03032545811746562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f t="shared" si="36"/>
        <v>820</v>
      </c>
      <c r="F67" s="140">
        <v>697.71</v>
      </c>
      <c r="G67" s="103">
        <f t="shared" si="27"/>
        <v>-122.28999999999996</v>
      </c>
      <c r="H67" s="376">
        <f t="shared" si="25"/>
        <v>0.8508658536585366</v>
      </c>
      <c r="I67" s="104">
        <f t="shared" si="30"/>
        <v>-122.28999999999996</v>
      </c>
      <c r="J67" s="109">
        <f t="shared" si="26"/>
        <v>0.8508658536585366</v>
      </c>
      <c r="K67" s="104"/>
      <c r="L67" s="104"/>
      <c r="M67" s="104"/>
      <c r="N67" s="104">
        <v>835.21</v>
      </c>
      <c r="O67" s="104">
        <f t="shared" si="31"/>
        <v>-15.210000000000036</v>
      </c>
      <c r="P67" s="109">
        <f t="shared" si="32"/>
        <v>0.9817890111468971</v>
      </c>
      <c r="Q67" s="104">
        <f aca="true" t="shared" si="37" ref="Q67:Q72">N67</f>
        <v>835.21</v>
      </c>
      <c r="R67" s="370">
        <f t="shared" si="6"/>
        <v>-137.5</v>
      </c>
      <c r="S67" s="371">
        <f t="shared" si="34"/>
        <v>0.8353707450820752</v>
      </c>
      <c r="T67" s="105">
        <f>E67-листопад!E67</f>
        <v>0</v>
      </c>
      <c r="U67" s="144">
        <f>F67-листопад!F67</f>
        <v>35.950000000000045</v>
      </c>
      <c r="V67" s="106">
        <f t="shared" si="28"/>
        <v>35.950000000000045</v>
      </c>
      <c r="W67" s="109" t="e">
        <f t="shared" si="35"/>
        <v>#DIV/0!</v>
      </c>
      <c r="X67" s="363">
        <f t="shared" si="20"/>
        <v>-0.1464182660648219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f t="shared" si="36"/>
        <v>1</v>
      </c>
      <c r="F68" s="140">
        <v>0.18</v>
      </c>
      <c r="G68" s="103">
        <f t="shared" si="27"/>
        <v>-0.8200000000000001</v>
      </c>
      <c r="H68" s="376">
        <f t="shared" si="25"/>
        <v>0.18</v>
      </c>
      <c r="I68" s="104">
        <f t="shared" si="30"/>
        <v>-0.8200000000000001</v>
      </c>
      <c r="J68" s="109">
        <f t="shared" si="26"/>
        <v>0.18</v>
      </c>
      <c r="K68" s="104"/>
      <c r="L68" s="104"/>
      <c r="M68" s="104"/>
      <c r="N68" s="104">
        <v>0.38</v>
      </c>
      <c r="O68" s="104">
        <f t="shared" si="31"/>
        <v>0.62</v>
      </c>
      <c r="P68" s="109">
        <f t="shared" si="32"/>
        <v>2.6315789473684212</v>
      </c>
      <c r="Q68" s="104">
        <f t="shared" si="37"/>
        <v>0.38</v>
      </c>
      <c r="R68" s="370">
        <f t="shared" si="6"/>
        <v>-0.2</v>
      </c>
      <c r="S68" s="371">
        <f t="shared" si="34"/>
        <v>0.47368421052631576</v>
      </c>
      <c r="T68" s="105">
        <f>E68-листопад!E68</f>
        <v>1</v>
      </c>
      <c r="U68" s="144">
        <f>F68-листопад!F68</f>
        <v>0</v>
      </c>
      <c r="V68" s="106">
        <f t="shared" si="28"/>
        <v>-1</v>
      </c>
      <c r="W68" s="109"/>
      <c r="X68" s="363">
        <f t="shared" si="20"/>
        <v>-2.1578947368421053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f t="shared" si="36"/>
        <v>1</v>
      </c>
      <c r="F69" s="140">
        <v>0</v>
      </c>
      <c r="G69" s="103">
        <f t="shared" si="27"/>
        <v>-1</v>
      </c>
      <c r="H69" s="376">
        <f t="shared" si="25"/>
        <v>0</v>
      </c>
      <c r="I69" s="104">
        <f t="shared" si="30"/>
        <v>-1</v>
      </c>
      <c r="J69" s="109">
        <f t="shared" si="26"/>
        <v>0</v>
      </c>
      <c r="K69" s="104"/>
      <c r="L69" s="104"/>
      <c r="M69" s="104"/>
      <c r="N69" s="104">
        <v>0.02</v>
      </c>
      <c r="O69" s="104">
        <f t="shared" si="31"/>
        <v>0.98</v>
      </c>
      <c r="P69" s="109">
        <f t="shared" si="32"/>
        <v>50</v>
      </c>
      <c r="Q69" s="104">
        <f t="shared" si="37"/>
        <v>0.02</v>
      </c>
      <c r="R69" s="370">
        <f t="shared" si="6"/>
        <v>-0.02</v>
      </c>
      <c r="S69" s="371">
        <f t="shared" si="34"/>
        <v>0</v>
      </c>
      <c r="T69" s="105">
        <f>E69-листопад!E69</f>
        <v>1</v>
      </c>
      <c r="U69" s="144">
        <f>F69-листопад!F69</f>
        <v>0</v>
      </c>
      <c r="V69" s="106">
        <f t="shared" si="28"/>
        <v>-1</v>
      </c>
      <c r="W69" s="109"/>
      <c r="X69" s="363">
        <f t="shared" si="20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f t="shared" si="36"/>
        <v>165</v>
      </c>
      <c r="F70" s="140">
        <v>132.59</v>
      </c>
      <c r="G70" s="103">
        <f t="shared" si="27"/>
        <v>-32.41</v>
      </c>
      <c r="H70" s="376">
        <f t="shared" si="25"/>
        <v>0.8035757575757576</v>
      </c>
      <c r="I70" s="104">
        <f t="shared" si="30"/>
        <v>-32.41</v>
      </c>
      <c r="J70" s="109">
        <f t="shared" si="26"/>
        <v>0.8035757575757576</v>
      </c>
      <c r="K70" s="104"/>
      <c r="L70" s="104"/>
      <c r="M70" s="104"/>
      <c r="N70" s="104">
        <v>4325.74</v>
      </c>
      <c r="O70" s="104">
        <f t="shared" si="31"/>
        <v>-4160.74</v>
      </c>
      <c r="P70" s="109">
        <f t="shared" si="32"/>
        <v>0.03814376268569077</v>
      </c>
      <c r="Q70" s="104">
        <f t="shared" si="37"/>
        <v>4325.74</v>
      </c>
      <c r="R70" s="370">
        <f t="shared" si="6"/>
        <v>-4193.15</v>
      </c>
      <c r="S70" s="371">
        <f t="shared" si="34"/>
        <v>0.03065140299694388</v>
      </c>
      <c r="T70" s="105">
        <f>E70-листопад!E70</f>
        <v>0</v>
      </c>
      <c r="U70" s="144">
        <f>F70-листопад!F70</f>
        <v>8.950000000000003</v>
      </c>
      <c r="V70" s="106">
        <f t="shared" si="28"/>
        <v>8.950000000000003</v>
      </c>
      <c r="W70" s="109" t="e">
        <f t="shared" si="35"/>
        <v>#DIV/0!</v>
      </c>
      <c r="X70" s="363">
        <f t="shared" si="20"/>
        <v>-0.007492359688746893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f t="shared" si="36"/>
        <v>2.5</v>
      </c>
      <c r="F71" s="156">
        <v>2.04</v>
      </c>
      <c r="G71" s="150">
        <f t="shared" si="27"/>
        <v>-0.45999999999999996</v>
      </c>
      <c r="H71" s="380">
        <f t="shared" si="25"/>
        <v>0.8160000000000001</v>
      </c>
      <c r="I71" s="165">
        <f t="shared" si="30"/>
        <v>-0.45999999999999996</v>
      </c>
      <c r="J71" s="218">
        <f t="shared" si="26"/>
        <v>0.8160000000000001</v>
      </c>
      <c r="K71" s="165"/>
      <c r="L71" s="165"/>
      <c r="M71" s="165"/>
      <c r="N71" s="165">
        <v>2.46</v>
      </c>
      <c r="O71" s="165">
        <f t="shared" si="31"/>
        <v>0.040000000000000036</v>
      </c>
      <c r="P71" s="218">
        <f t="shared" si="32"/>
        <v>1.016260162601626</v>
      </c>
      <c r="Q71" s="165">
        <f t="shared" si="37"/>
        <v>2.46</v>
      </c>
      <c r="R71" s="165">
        <f t="shared" si="6"/>
        <v>-0.41999999999999993</v>
      </c>
      <c r="S71" s="218">
        <f t="shared" si="34"/>
        <v>0.8292682926829269</v>
      </c>
      <c r="T71" s="157">
        <f>E71-листопад!E71</f>
        <v>0</v>
      </c>
      <c r="U71" s="160">
        <f>F71-листопад!F71</f>
        <v>0</v>
      </c>
      <c r="V71" s="161">
        <f t="shared" si="28"/>
        <v>0</v>
      </c>
      <c r="W71" s="218"/>
      <c r="X71" s="363">
        <f t="shared" si="20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f t="shared" si="36"/>
        <v>7350</v>
      </c>
      <c r="F72" s="156">
        <v>7875.14</v>
      </c>
      <c r="G72" s="150">
        <f t="shared" si="27"/>
        <v>525.1400000000003</v>
      </c>
      <c r="H72" s="380">
        <f t="shared" si="25"/>
        <v>1.071447619047619</v>
      </c>
      <c r="I72" s="165">
        <f t="shared" si="30"/>
        <v>525.1400000000003</v>
      </c>
      <c r="J72" s="218">
        <f t="shared" si="26"/>
        <v>1.071447619047619</v>
      </c>
      <c r="K72" s="165"/>
      <c r="L72" s="165"/>
      <c r="M72" s="165"/>
      <c r="N72" s="165">
        <v>6525.16</v>
      </c>
      <c r="O72" s="165">
        <f t="shared" si="31"/>
        <v>824.8400000000001</v>
      </c>
      <c r="P72" s="218">
        <f t="shared" si="32"/>
        <v>1.1264091608481632</v>
      </c>
      <c r="Q72" s="165">
        <f t="shared" si="37"/>
        <v>6525.16</v>
      </c>
      <c r="R72" s="165">
        <f t="shared" si="6"/>
        <v>1349.9800000000005</v>
      </c>
      <c r="S72" s="218">
        <f t="shared" si="34"/>
        <v>1.206888413464191</v>
      </c>
      <c r="T72" s="157">
        <f>E72-листопад!E72</f>
        <v>250</v>
      </c>
      <c r="U72" s="160">
        <f>F72-листопад!F72</f>
        <v>509.85000000000036</v>
      </c>
      <c r="V72" s="161">
        <f t="shared" si="28"/>
        <v>259.85000000000036</v>
      </c>
      <c r="W72" s="218">
        <f t="shared" si="35"/>
        <v>2.0394000000000014</v>
      </c>
      <c r="X72" s="363">
        <f t="shared" si="20"/>
        <v>0.08047925261602784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7"/>
        <v>0</v>
      </c>
      <c r="H73" s="380" t="e">
        <f>F73/E73*100</f>
        <v>#DIV/0!</v>
      </c>
      <c r="I73" s="165">
        <f t="shared" si="30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6"/>
        <v>0</v>
      </c>
      <c r="S73" s="218" t="e">
        <f t="shared" si="34"/>
        <v>#DIV/0!</v>
      </c>
      <c r="T73" s="157">
        <f>E73-листопад!E73</f>
        <v>0</v>
      </c>
      <c r="U73" s="160">
        <f>F73-серпень!F61</f>
        <v>0</v>
      </c>
      <c r="V73" s="161">
        <f t="shared" si="28"/>
        <v>0</v>
      </c>
      <c r="W73" s="218" t="e">
        <f t="shared" si="35"/>
        <v>#DIV/0!</v>
      </c>
      <c r="X73" s="363" t="e">
        <f t="shared" si="20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2061.03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f>N74</f>
        <v>1411.18</v>
      </c>
      <c r="R74" s="254"/>
      <c r="S74" s="305">
        <f t="shared" si="34"/>
        <v>1.460501140889185</v>
      </c>
      <c r="T74" s="157"/>
      <c r="U74" s="179">
        <f>F74-листопад!F74</f>
        <v>112.15000000000009</v>
      </c>
      <c r="V74" s="166">
        <f t="shared" si="28"/>
        <v>112.15000000000009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7"/>
        <v>0</v>
      </c>
      <c r="H75" s="380" t="e">
        <f>F75/E75*100</f>
        <v>#DIV/0!</v>
      </c>
      <c r="I75" s="165">
        <f t="shared" si="30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6"/>
        <v>0</v>
      </c>
      <c r="S75" s="218" t="e">
        <f t="shared" si="34"/>
        <v>#DIV/0!</v>
      </c>
      <c r="T75" s="157">
        <f>E75-серпень!E63</f>
        <v>0</v>
      </c>
      <c r="U75" s="160">
        <f>F75-серпень!F63</f>
        <v>0</v>
      </c>
      <c r="V75" s="161">
        <f t="shared" si="28"/>
        <v>0</v>
      </c>
      <c r="W75" s="218" t="e">
        <f t="shared" si="35"/>
        <v>#DIV/0!</v>
      </c>
      <c r="X75" s="363" t="e">
        <f t="shared" si="20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f>D76</f>
        <v>160</v>
      </c>
      <c r="F76" s="156">
        <v>142.18</v>
      </c>
      <c r="G76" s="150">
        <f t="shared" si="27"/>
        <v>-17.819999999999993</v>
      </c>
      <c r="H76" s="380">
        <f>F76/E76</f>
        <v>0.888625</v>
      </c>
      <c r="I76" s="165">
        <f t="shared" si="30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f>N76</f>
        <v>226.72</v>
      </c>
      <c r="R76" s="165">
        <f t="shared" si="6"/>
        <v>-84.53999999999999</v>
      </c>
      <c r="S76" s="218">
        <f t="shared" si="34"/>
        <v>0.6271171489061398</v>
      </c>
      <c r="T76" s="157">
        <f>E76-листопад!E76</f>
        <v>70</v>
      </c>
      <c r="U76" s="160">
        <f>F76-листопад!F76</f>
        <v>0</v>
      </c>
      <c r="V76" s="161">
        <f t="shared" si="28"/>
        <v>-70</v>
      </c>
      <c r="W76" s="218">
        <f t="shared" si="35"/>
        <v>0</v>
      </c>
      <c r="X76" s="363">
        <f t="shared" si="20"/>
        <v>-0.07859915314043753</v>
      </c>
    </row>
    <row r="77" spans="1:24" s="6" customFormat="1" ht="27.75" customHeight="1">
      <c r="A77" s="8"/>
      <c r="B77" s="131" t="s">
        <v>44</v>
      </c>
      <c r="C77" s="43">
        <v>31010200</v>
      </c>
      <c r="D77" s="150">
        <v>15</v>
      </c>
      <c r="E77" s="150">
        <f>D77</f>
        <v>15</v>
      </c>
      <c r="F77" s="156">
        <v>34.22</v>
      </c>
      <c r="G77" s="150">
        <f t="shared" si="27"/>
        <v>19.22</v>
      </c>
      <c r="H77" s="380">
        <f>F77/E77</f>
        <v>2.2813333333333334</v>
      </c>
      <c r="I77" s="165">
        <f t="shared" si="30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f>N77</f>
        <v>13.52</v>
      </c>
      <c r="R77" s="165">
        <f t="shared" si="6"/>
        <v>20.7</v>
      </c>
      <c r="S77" s="218">
        <f t="shared" si="34"/>
        <v>2.5310650887573964</v>
      </c>
      <c r="T77" s="157">
        <f>E77-листопад!E77</f>
        <v>1.1999999999999993</v>
      </c>
      <c r="U77" s="160">
        <f>F77-листопад!F77</f>
        <v>0</v>
      </c>
      <c r="V77" s="161">
        <f t="shared" si="28"/>
        <v>-1.1999999999999993</v>
      </c>
      <c r="W77" s="218">
        <f t="shared" si="35"/>
        <v>0</v>
      </c>
      <c r="X77" s="363">
        <f t="shared" si="20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f>D78</f>
        <v>0</v>
      </c>
      <c r="F78" s="156">
        <v>-4.88</v>
      </c>
      <c r="G78" s="150">
        <f t="shared" si="27"/>
        <v>-4.88</v>
      </c>
      <c r="H78" s="380" t="e">
        <f>F78/E78</f>
        <v>#DIV/0!</v>
      </c>
      <c r="I78" s="165">
        <f t="shared" si="30"/>
        <v>-4.88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f>N78</f>
        <v>7.37</v>
      </c>
      <c r="R78" s="165">
        <f t="shared" si="6"/>
        <v>-12.25</v>
      </c>
      <c r="S78" s="218">
        <f t="shared" si="34"/>
        <v>-0.6621438263229308</v>
      </c>
      <c r="T78" s="157">
        <f>E78-листопад!E78</f>
        <v>0</v>
      </c>
      <c r="U78" s="160">
        <f>F78-листопад!F78</f>
        <v>0.1200000000000001</v>
      </c>
      <c r="V78" s="161">
        <f t="shared" si="28"/>
        <v>0.1200000000000001</v>
      </c>
      <c r="W78" s="218"/>
      <c r="X78" s="363">
        <f t="shared" si="20"/>
        <v>-0.6621438263229308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1357491.1</v>
      </c>
      <c r="F79" s="151">
        <f>F8+F53+F77+F78</f>
        <v>1341852.35</v>
      </c>
      <c r="G79" s="151">
        <f>F79-E79</f>
        <v>-15638.75</v>
      </c>
      <c r="H79" s="377">
        <f>F79/E79</f>
        <v>0.988479666643855</v>
      </c>
      <c r="I79" s="153">
        <f>F79-D79</f>
        <v>-15638.75</v>
      </c>
      <c r="J79" s="219">
        <f>F79/D79</f>
        <v>0.988479666643855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f>N79</f>
        <v>1053569.51</v>
      </c>
      <c r="R79" s="153">
        <f>F79-Q79</f>
        <v>288282.8400000001</v>
      </c>
      <c r="S79" s="219">
        <f>F79/Q79</f>
        <v>1.273624888784035</v>
      </c>
      <c r="T79" s="151">
        <f>T8+T53+T77+T78</f>
        <v>112733.8</v>
      </c>
      <c r="U79" s="151">
        <f>U8+U53+U77+U78</f>
        <v>72940.70999999999</v>
      </c>
      <c r="V79" s="194">
        <f>U79-T79</f>
        <v>-39793.09000000001</v>
      </c>
      <c r="W79" s="219">
        <f>U79/T79</f>
        <v>0.6470172210996169</v>
      </c>
      <c r="X79" s="363">
        <f t="shared" si="20"/>
        <v>-0.014843586352456084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20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20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20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20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f aca="true" t="shared" si="38" ref="Q84:Q98">N84</f>
        <v>0</v>
      </c>
      <c r="R84" s="167">
        <f>F84-Q84</f>
        <v>0.01</v>
      </c>
      <c r="S84" s="209" t="e">
        <f>F84/Q84</f>
        <v>#DIV/0!</v>
      </c>
      <c r="T84" s="162">
        <f>E84-листопад!E84</f>
        <v>0</v>
      </c>
      <c r="U84" s="160">
        <f>F84-листопад!F84</f>
        <v>0</v>
      </c>
      <c r="V84" s="167"/>
      <c r="W84" s="209"/>
      <c r="X84" s="363" t="e">
        <f t="shared" si="20"/>
        <v>#DIV/0!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f t="shared" si="38"/>
        <v>-10.19</v>
      </c>
      <c r="R85" s="167">
        <f>F85-Q85</f>
        <v>7.549999999999999</v>
      </c>
      <c r="S85" s="209">
        <f>F85/Q85</f>
        <v>0.2590775269872424</v>
      </c>
      <c r="T85" s="162">
        <f>E85-листопад!E85</f>
        <v>0</v>
      </c>
      <c r="U85" s="160">
        <f>F85-листопад!F85</f>
        <v>0</v>
      </c>
      <c r="V85" s="167">
        <f>U85-T85</f>
        <v>0</v>
      </c>
      <c r="W85" s="209"/>
      <c r="X85" s="363">
        <f t="shared" si="20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f t="shared" si="38"/>
        <v>-10.18</v>
      </c>
      <c r="R86" s="187">
        <f aca="true" t="shared" si="39" ref="R86:R98">F86-Q86</f>
        <v>7.549999999999999</v>
      </c>
      <c r="S86" s="214">
        <f aca="true" t="shared" si="40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20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41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42" ref="O87:O98">D87-N87</f>
        <v>0</v>
      </c>
      <c r="P87" s="214" t="e">
        <f aca="true" t="shared" si="43" ref="P87:P98">D87/N87</f>
        <v>#DIV/0!</v>
      </c>
      <c r="Q87" s="187">
        <f t="shared" si="38"/>
        <v>0</v>
      </c>
      <c r="R87" s="187">
        <f t="shared" si="39"/>
        <v>35.57</v>
      </c>
      <c r="S87" s="209"/>
      <c r="T87" s="186">
        <f>E87-листопад!E87</f>
        <v>0</v>
      </c>
      <c r="U87" s="289">
        <f>F87-листопад!F87</f>
        <v>0</v>
      </c>
      <c r="V87" s="187">
        <f aca="true" t="shared" si="44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f>74458.74-3362.35</f>
        <v>71096.39</v>
      </c>
      <c r="E88" s="180">
        <f>D88</f>
        <v>71096.39</v>
      </c>
      <c r="F88" s="181">
        <v>938.12</v>
      </c>
      <c r="G88" s="162">
        <f t="shared" si="41"/>
        <v>-70158.27</v>
      </c>
      <c r="H88" s="380">
        <f>F88/E88</f>
        <v>0.013195044080297185</v>
      </c>
      <c r="I88" s="167">
        <f>F88-D88</f>
        <v>-70158.27</v>
      </c>
      <c r="J88" s="209">
        <f>F88/D88</f>
        <v>0.013195044080297185</v>
      </c>
      <c r="K88" s="167"/>
      <c r="L88" s="167"/>
      <c r="M88" s="167"/>
      <c r="N88" s="167">
        <v>4618.99</v>
      </c>
      <c r="O88" s="167">
        <f t="shared" si="42"/>
        <v>66477.4</v>
      </c>
      <c r="P88" s="209">
        <f t="shared" si="43"/>
        <v>15.392193964481413</v>
      </c>
      <c r="Q88" s="167">
        <f t="shared" si="38"/>
        <v>4618.99</v>
      </c>
      <c r="R88" s="167">
        <f t="shared" si="39"/>
        <v>-3680.87</v>
      </c>
      <c r="S88" s="209">
        <f t="shared" si="40"/>
        <v>0.20310067785381652</v>
      </c>
      <c r="T88" s="157">
        <f>E88-листопад!E88</f>
        <v>15252.879999999997</v>
      </c>
      <c r="U88" s="160">
        <f>F88-листопад!F88</f>
        <v>0.01999999999998181</v>
      </c>
      <c r="V88" s="167">
        <f t="shared" si="44"/>
        <v>-15252.859999999997</v>
      </c>
      <c r="W88" s="209">
        <f>U88/T88</f>
        <v>1.3112277812440545E-06</v>
      </c>
      <c r="X88" s="363">
        <f t="shared" si="20"/>
        <v>-15.189093286627596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f>D89</f>
        <v>54000</v>
      </c>
      <c r="F89" s="181">
        <v>7978.3</v>
      </c>
      <c r="G89" s="162">
        <f t="shared" si="41"/>
        <v>-46021.7</v>
      </c>
      <c r="H89" s="380">
        <f>F89/E89</f>
        <v>0.1477462962962963</v>
      </c>
      <c r="I89" s="167">
        <f aca="true" t="shared" si="45" ref="I89:I98">F89-D89</f>
        <v>-46021.7</v>
      </c>
      <c r="J89" s="209">
        <f>F89/D89</f>
        <v>0.1477462962962963</v>
      </c>
      <c r="K89" s="167"/>
      <c r="L89" s="167"/>
      <c r="M89" s="167"/>
      <c r="N89" s="167">
        <v>10435.77</v>
      </c>
      <c r="O89" s="167">
        <f t="shared" si="42"/>
        <v>43564.229999999996</v>
      </c>
      <c r="P89" s="209">
        <f t="shared" si="43"/>
        <v>5.174510361956999</v>
      </c>
      <c r="Q89" s="167">
        <f t="shared" si="38"/>
        <v>10435.77</v>
      </c>
      <c r="R89" s="167">
        <f t="shared" si="39"/>
        <v>-2457.4700000000003</v>
      </c>
      <c r="S89" s="209">
        <f t="shared" si="40"/>
        <v>0.7645147411259543</v>
      </c>
      <c r="T89" s="157">
        <f>E89-листопад!E89</f>
        <v>20370</v>
      </c>
      <c r="U89" s="160">
        <f>F89-листопад!F89</f>
        <v>123.3100000000004</v>
      </c>
      <c r="V89" s="167">
        <f t="shared" si="44"/>
        <v>-20246.69</v>
      </c>
      <c r="W89" s="209">
        <f>U89/T89</f>
        <v>0.006053510063819362</v>
      </c>
      <c r="X89" s="363">
        <f t="shared" si="20"/>
        <v>-4.409995620831045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f>D90</f>
        <v>79000</v>
      </c>
      <c r="F90" s="181">
        <v>16677.32</v>
      </c>
      <c r="G90" s="162">
        <f t="shared" si="41"/>
        <v>-62322.68</v>
      </c>
      <c r="H90" s="380">
        <f>F90/E90</f>
        <v>0.2111053164556962</v>
      </c>
      <c r="I90" s="167">
        <f t="shared" si="45"/>
        <v>-62322.68</v>
      </c>
      <c r="J90" s="209">
        <f>F90/D90</f>
        <v>0.2111053164556962</v>
      </c>
      <c r="K90" s="167"/>
      <c r="L90" s="167"/>
      <c r="M90" s="167"/>
      <c r="N90" s="167">
        <v>12593.19</v>
      </c>
      <c r="O90" s="167">
        <f t="shared" si="42"/>
        <v>66406.81</v>
      </c>
      <c r="P90" s="209">
        <f t="shared" si="43"/>
        <v>6.273231802267733</v>
      </c>
      <c r="Q90" s="167">
        <f t="shared" si="38"/>
        <v>12593.19</v>
      </c>
      <c r="R90" s="167">
        <f t="shared" si="39"/>
        <v>4084.129999999999</v>
      </c>
      <c r="S90" s="209">
        <f t="shared" si="40"/>
        <v>1.3243125848176673</v>
      </c>
      <c r="T90" s="157">
        <f>E90-листопад!E90</f>
        <v>23700</v>
      </c>
      <c r="U90" s="160">
        <f>F90-листопад!F90</f>
        <v>970.7799999999988</v>
      </c>
      <c r="V90" s="167">
        <f t="shared" si="44"/>
        <v>-22729.22</v>
      </c>
      <c r="W90" s="209">
        <f>U90/T90</f>
        <v>0.040961181434599106</v>
      </c>
      <c r="X90" s="363">
        <f t="shared" si="20"/>
        <v>-4.948919217450066</v>
      </c>
    </row>
    <row r="91" spans="2:24" ht="18">
      <c r="B91" s="23" t="s">
        <v>101</v>
      </c>
      <c r="C91" s="73">
        <v>24110700</v>
      </c>
      <c r="D91" s="180">
        <v>12</v>
      </c>
      <c r="E91" s="180">
        <f>D91</f>
        <v>12</v>
      </c>
      <c r="F91" s="181">
        <v>19</v>
      </c>
      <c r="G91" s="162">
        <f t="shared" si="41"/>
        <v>7</v>
      </c>
      <c r="H91" s="380">
        <f>F91/E91</f>
        <v>1.5833333333333333</v>
      </c>
      <c r="I91" s="167">
        <f t="shared" si="45"/>
        <v>7</v>
      </c>
      <c r="J91" s="209">
        <f>F91/D91</f>
        <v>1.5833333333333333</v>
      </c>
      <c r="K91" s="167"/>
      <c r="L91" s="167"/>
      <c r="M91" s="167"/>
      <c r="N91" s="167">
        <v>13</v>
      </c>
      <c r="O91" s="167">
        <f t="shared" si="42"/>
        <v>-1</v>
      </c>
      <c r="P91" s="209">
        <f t="shared" si="43"/>
        <v>0.9230769230769231</v>
      </c>
      <c r="Q91" s="167">
        <f t="shared" si="38"/>
        <v>13</v>
      </c>
      <c r="R91" s="167">
        <f t="shared" si="39"/>
        <v>6</v>
      </c>
      <c r="S91" s="209">
        <f t="shared" si="40"/>
        <v>1.4615384615384615</v>
      </c>
      <c r="T91" s="157">
        <f>E91-листопад!E91</f>
        <v>1</v>
      </c>
      <c r="U91" s="160">
        <f>F91-листопад!F91</f>
        <v>3</v>
      </c>
      <c r="V91" s="167">
        <f t="shared" si="44"/>
        <v>2</v>
      </c>
      <c r="W91" s="209">
        <f>U91/T91</f>
        <v>3</v>
      </c>
      <c r="X91" s="363">
        <f t="shared" si="20"/>
        <v>0.5384615384615383</v>
      </c>
    </row>
    <row r="92" spans="2:24" ht="33">
      <c r="B92" s="28" t="s">
        <v>51</v>
      </c>
      <c r="C92" s="65"/>
      <c r="D92" s="183">
        <f>D88+D89+D90+D91</f>
        <v>204108.39</v>
      </c>
      <c r="E92" s="183">
        <f>E88+E89+E90+E91</f>
        <v>204108.39</v>
      </c>
      <c r="F92" s="184">
        <f>F88+F89+F90+F91</f>
        <v>25612.739999999998</v>
      </c>
      <c r="G92" s="185">
        <f t="shared" si="41"/>
        <v>-178495.65000000002</v>
      </c>
      <c r="H92" s="383">
        <f>F92/E92</f>
        <v>0.12548597340854042</v>
      </c>
      <c r="I92" s="187">
        <f t="shared" si="45"/>
        <v>-178495.65000000002</v>
      </c>
      <c r="J92" s="214">
        <f>F92/D92</f>
        <v>0.12548597340854042</v>
      </c>
      <c r="K92" s="187"/>
      <c r="L92" s="187"/>
      <c r="M92" s="187"/>
      <c r="N92" s="187">
        <v>27660.95</v>
      </c>
      <c r="O92" s="187">
        <f t="shared" si="42"/>
        <v>176447.44</v>
      </c>
      <c r="P92" s="214">
        <f t="shared" si="43"/>
        <v>7.378936370587417</v>
      </c>
      <c r="Q92" s="187">
        <f t="shared" si="38"/>
        <v>27660.95</v>
      </c>
      <c r="R92" s="167">
        <f t="shared" si="39"/>
        <v>-2048.2100000000028</v>
      </c>
      <c r="S92" s="209">
        <f t="shared" si="40"/>
        <v>0.9259530131828443</v>
      </c>
      <c r="T92" s="185">
        <f>T88+T89+T90+T91</f>
        <v>59323.88</v>
      </c>
      <c r="U92" s="189">
        <f>U88+U89+U90+U91</f>
        <v>1097.1099999999992</v>
      </c>
      <c r="V92" s="187">
        <f t="shared" si="44"/>
        <v>-58226.77</v>
      </c>
      <c r="W92" s="214">
        <f>U92/T92</f>
        <v>0.01849356448027336</v>
      </c>
      <c r="X92" s="363">
        <f t="shared" si="20"/>
        <v>-6.452983357404573</v>
      </c>
    </row>
    <row r="93" spans="2:24" ht="46.5">
      <c r="B93" s="12" t="s">
        <v>40</v>
      </c>
      <c r="C93" s="75">
        <v>24062100</v>
      </c>
      <c r="D93" s="180">
        <v>40</v>
      </c>
      <c r="E93" s="180">
        <f>D93</f>
        <v>40</v>
      </c>
      <c r="F93" s="181">
        <v>49.17</v>
      </c>
      <c r="G93" s="162">
        <f t="shared" si="41"/>
        <v>9.170000000000002</v>
      </c>
      <c r="H93" s="380"/>
      <c r="I93" s="167">
        <f t="shared" si="45"/>
        <v>9.170000000000002</v>
      </c>
      <c r="J93" s="209"/>
      <c r="K93" s="167"/>
      <c r="L93" s="167"/>
      <c r="M93" s="167"/>
      <c r="N93" s="167">
        <v>69.99</v>
      </c>
      <c r="O93" s="167">
        <f t="shared" si="42"/>
        <v>-29.989999999999995</v>
      </c>
      <c r="P93" s="209">
        <f t="shared" si="43"/>
        <v>0.5715102157451065</v>
      </c>
      <c r="Q93" s="167">
        <f t="shared" si="38"/>
        <v>69.99</v>
      </c>
      <c r="R93" s="167">
        <f t="shared" si="39"/>
        <v>-20.819999999999993</v>
      </c>
      <c r="S93" s="209">
        <f t="shared" si="40"/>
        <v>0.7025289327046722</v>
      </c>
      <c r="T93" s="157">
        <f>E93-листопад!E93</f>
        <v>6</v>
      </c>
      <c r="U93" s="160">
        <f>F93-листопад!F93</f>
        <v>0</v>
      </c>
      <c r="V93" s="167">
        <f t="shared" si="44"/>
        <v>-6</v>
      </c>
      <c r="W93" s="209"/>
      <c r="X93" s="363">
        <f t="shared" si="20"/>
        <v>0.13101871695956568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f>D94</f>
        <v>0</v>
      </c>
      <c r="F94" s="181">
        <v>0</v>
      </c>
      <c r="G94" s="162">
        <f t="shared" si="41"/>
        <v>0</v>
      </c>
      <c r="H94" s="380"/>
      <c r="I94" s="167">
        <f t="shared" si="45"/>
        <v>0</v>
      </c>
      <c r="J94" s="391"/>
      <c r="K94" s="190"/>
      <c r="L94" s="190"/>
      <c r="M94" s="190"/>
      <c r="N94" s="190"/>
      <c r="O94" s="167">
        <f t="shared" si="42"/>
        <v>0</v>
      </c>
      <c r="P94" s="209" t="e">
        <f t="shared" si="43"/>
        <v>#DIV/0!</v>
      </c>
      <c r="Q94" s="167">
        <f t="shared" si="38"/>
        <v>0</v>
      </c>
      <c r="R94" s="167">
        <f t="shared" si="39"/>
        <v>0</v>
      </c>
      <c r="S94" s="209" t="e">
        <f t="shared" si="40"/>
        <v>#DIV/0!</v>
      </c>
      <c r="T94" s="157">
        <f>E94-листопад!E94</f>
        <v>0</v>
      </c>
      <c r="U94" s="160">
        <f>F94-листопад!F94</f>
        <v>0</v>
      </c>
      <c r="V94" s="167">
        <f t="shared" si="44"/>
        <v>0</v>
      </c>
      <c r="W94" s="391"/>
      <c r="X94" s="363" t="e">
        <f t="shared" si="20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f>D95</f>
        <v>8360</v>
      </c>
      <c r="F95" s="181">
        <v>8033.78</v>
      </c>
      <c r="G95" s="162">
        <f t="shared" si="41"/>
        <v>-326.22000000000025</v>
      </c>
      <c r="H95" s="380">
        <f>F95/E95</f>
        <v>0.9609784688995215</v>
      </c>
      <c r="I95" s="167">
        <f t="shared" si="45"/>
        <v>-326.22000000000025</v>
      </c>
      <c r="J95" s="209">
        <f>F95/D95</f>
        <v>0.9609784688995215</v>
      </c>
      <c r="K95" s="167"/>
      <c r="L95" s="167"/>
      <c r="M95" s="167"/>
      <c r="N95" s="167">
        <v>8352.68</v>
      </c>
      <c r="O95" s="167">
        <f t="shared" si="42"/>
        <v>7.319999999999709</v>
      </c>
      <c r="P95" s="209">
        <f t="shared" si="43"/>
        <v>1.0008763654300177</v>
      </c>
      <c r="Q95" s="167">
        <f t="shared" si="38"/>
        <v>8352.68</v>
      </c>
      <c r="R95" s="167">
        <f t="shared" si="39"/>
        <v>-318.90000000000055</v>
      </c>
      <c r="S95" s="209">
        <f t="shared" si="40"/>
        <v>0.9618206372086563</v>
      </c>
      <c r="T95" s="157">
        <f>E95-листопад!E95</f>
        <v>0.5</v>
      </c>
      <c r="U95" s="160">
        <f>F95-листопад!F95</f>
        <v>0.8299999999999272</v>
      </c>
      <c r="V95" s="167">
        <f t="shared" si="44"/>
        <v>0.32999999999992724</v>
      </c>
      <c r="W95" s="209">
        <f>U95/T95</f>
        <v>1.6599999999998545</v>
      </c>
      <c r="X95" s="363">
        <f t="shared" si="20"/>
        <v>-0.039055728221361385</v>
      </c>
    </row>
    <row r="96" spans="2:24" ht="31.5">
      <c r="B96" s="23" t="s">
        <v>50</v>
      </c>
      <c r="C96" s="73">
        <v>19050000</v>
      </c>
      <c r="D96" s="180">
        <v>0</v>
      </c>
      <c r="E96" s="180">
        <f>D96</f>
        <v>0</v>
      </c>
      <c r="F96" s="181">
        <v>0.1</v>
      </c>
      <c r="G96" s="162">
        <f t="shared" si="41"/>
        <v>0.1</v>
      </c>
      <c r="H96" s="380"/>
      <c r="I96" s="167">
        <f t="shared" si="45"/>
        <v>0.1</v>
      </c>
      <c r="J96" s="209"/>
      <c r="K96" s="167"/>
      <c r="L96" s="167"/>
      <c r="M96" s="167"/>
      <c r="N96" s="167">
        <v>1.48</v>
      </c>
      <c r="O96" s="167">
        <f t="shared" si="42"/>
        <v>-1.48</v>
      </c>
      <c r="P96" s="209">
        <f t="shared" si="43"/>
        <v>0</v>
      </c>
      <c r="Q96" s="167">
        <f t="shared" si="38"/>
        <v>1.48</v>
      </c>
      <c r="R96" s="167">
        <f t="shared" si="39"/>
        <v>-1.38</v>
      </c>
      <c r="S96" s="209">
        <f t="shared" si="40"/>
        <v>0.06756756756756757</v>
      </c>
      <c r="T96" s="157">
        <f>E96-листопад!E96</f>
        <v>0</v>
      </c>
      <c r="U96" s="160">
        <f>F96-листопад!F96</f>
        <v>0</v>
      </c>
      <c r="V96" s="167">
        <f t="shared" si="44"/>
        <v>0</v>
      </c>
      <c r="W96" s="391"/>
      <c r="X96" s="363">
        <f t="shared" si="20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8400</v>
      </c>
      <c r="F97" s="184">
        <f>F93+F96+F94+F95</f>
        <v>8083.05</v>
      </c>
      <c r="G97" s="185">
        <f t="shared" si="41"/>
        <v>-316.9499999999998</v>
      </c>
      <c r="H97" s="383">
        <f>F97/E97</f>
        <v>0.9622678571428571</v>
      </c>
      <c r="I97" s="187">
        <f t="shared" si="45"/>
        <v>-316.9499999999998</v>
      </c>
      <c r="J97" s="214">
        <f>F97/D97</f>
        <v>0.9622678571428571</v>
      </c>
      <c r="K97" s="187"/>
      <c r="L97" s="187"/>
      <c r="M97" s="187"/>
      <c r="N97" s="187">
        <v>8424.15</v>
      </c>
      <c r="O97" s="187">
        <f t="shared" si="42"/>
        <v>-24.149999999999636</v>
      </c>
      <c r="P97" s="214">
        <f t="shared" si="43"/>
        <v>0.9971332419294529</v>
      </c>
      <c r="Q97" s="187">
        <f t="shared" si="38"/>
        <v>8424.15</v>
      </c>
      <c r="R97" s="167">
        <f t="shared" si="39"/>
        <v>-341.09999999999945</v>
      </c>
      <c r="S97" s="209">
        <f t="shared" si="40"/>
        <v>0.9595092679973648</v>
      </c>
      <c r="T97" s="185">
        <f>T93+T96+T94+T95</f>
        <v>6.5</v>
      </c>
      <c r="U97" s="189">
        <f>U93+U96+U94+U95</f>
        <v>0.8299999999999272</v>
      </c>
      <c r="V97" s="187">
        <f t="shared" si="44"/>
        <v>-5.670000000000073</v>
      </c>
      <c r="W97" s="214">
        <f>U97/T97</f>
        <v>0.1276923076922965</v>
      </c>
      <c r="X97" s="363">
        <f t="shared" si="20"/>
        <v>-0.03762397393208805</v>
      </c>
    </row>
    <row r="98" spans="2:24" ht="30.75">
      <c r="B98" s="12" t="s">
        <v>41</v>
      </c>
      <c r="C98" s="43">
        <v>24110900</v>
      </c>
      <c r="D98" s="180">
        <v>38</v>
      </c>
      <c r="E98" s="180">
        <f>D98</f>
        <v>38</v>
      </c>
      <c r="F98" s="181">
        <v>33.11</v>
      </c>
      <c r="G98" s="162">
        <f t="shared" si="41"/>
        <v>-4.890000000000001</v>
      </c>
      <c r="H98" s="380">
        <f>F98/E98</f>
        <v>0.8713157894736842</v>
      </c>
      <c r="I98" s="167">
        <f t="shared" si="45"/>
        <v>-4.890000000000001</v>
      </c>
      <c r="J98" s="209">
        <f>F98/D98</f>
        <v>0.8713157894736842</v>
      </c>
      <c r="K98" s="167"/>
      <c r="L98" s="167"/>
      <c r="M98" s="167"/>
      <c r="N98" s="167">
        <v>35.33</v>
      </c>
      <c r="O98" s="167">
        <f t="shared" si="42"/>
        <v>2.6700000000000017</v>
      </c>
      <c r="P98" s="209">
        <f t="shared" si="43"/>
        <v>1.075573167279932</v>
      </c>
      <c r="Q98" s="187">
        <f t="shared" si="38"/>
        <v>35.33</v>
      </c>
      <c r="R98" s="167">
        <f t="shared" si="39"/>
        <v>-2.219999999999999</v>
      </c>
      <c r="S98" s="209">
        <f t="shared" si="40"/>
        <v>0.937163883385225</v>
      </c>
      <c r="T98" s="157">
        <f>E98-листопад!E98</f>
        <v>0</v>
      </c>
      <c r="U98" s="160">
        <f>F98-листопад!F98</f>
        <v>4.079999999999998</v>
      </c>
      <c r="V98" s="167">
        <f t="shared" si="44"/>
        <v>4.079999999999998</v>
      </c>
      <c r="W98" s="209" t="e">
        <f>U98/T98</f>
        <v>#DIV/0!</v>
      </c>
      <c r="X98" s="363">
        <f t="shared" si="20"/>
        <v>-0.13840928389470697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40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20"/>
        <v>0</v>
      </c>
    </row>
    <row r="100" spans="2:24" ht="23.25" customHeight="1">
      <c r="B100" s="306" t="s">
        <v>31</v>
      </c>
      <c r="C100" s="307"/>
      <c r="D100" s="308">
        <f>D86+D87+D92+D97+D98</f>
        <v>212546.39</v>
      </c>
      <c r="E100" s="308">
        <f>E86+E87+E92+E97+E98</f>
        <v>212546.39</v>
      </c>
      <c r="F100" s="308">
        <f>F86+F87+F92+F97+F98</f>
        <v>33761.84</v>
      </c>
      <c r="G100" s="309">
        <f>F100-E100</f>
        <v>-178784.55000000002</v>
      </c>
      <c r="H100" s="384">
        <f>F100/E100</f>
        <v>0.15884457035473523</v>
      </c>
      <c r="I100" s="301">
        <f>F100-D100</f>
        <v>-178784.55000000002</v>
      </c>
      <c r="J100" s="302">
        <f>F100/D100</f>
        <v>0.15884457035473523</v>
      </c>
      <c r="K100" s="301"/>
      <c r="L100" s="301"/>
      <c r="M100" s="301"/>
      <c r="N100" s="301">
        <v>36110.25</v>
      </c>
      <c r="O100" s="301">
        <f>D100-N100</f>
        <v>176436.14</v>
      </c>
      <c r="P100" s="302">
        <f>D100/N100</f>
        <v>5.88604039019392</v>
      </c>
      <c r="Q100" s="308">
        <f>N100</f>
        <v>36110.25</v>
      </c>
      <c r="R100" s="301">
        <f>F100-Q100</f>
        <v>-2348.4100000000035</v>
      </c>
      <c r="S100" s="302">
        <f t="shared" si="40"/>
        <v>0.9349655568709715</v>
      </c>
      <c r="T100" s="308">
        <f>T86+T87+T92+T97+T98</f>
        <v>59330.38</v>
      </c>
      <c r="U100" s="308">
        <f>U86+U87+U92+U97+U98</f>
        <v>1102.019999999999</v>
      </c>
      <c r="V100" s="301">
        <f>U100-T100</f>
        <v>-58228.36</v>
      </c>
      <c r="W100" s="302">
        <f>U100/T100</f>
        <v>0.018574295327284253</v>
      </c>
      <c r="X100" s="363">
        <f>S100-P100</f>
        <v>-4.951074833322949</v>
      </c>
    </row>
    <row r="101" spans="2:24" ht="17.25">
      <c r="B101" s="311" t="s">
        <v>182</v>
      </c>
      <c r="C101" s="307"/>
      <c r="D101" s="308">
        <f>D79+D100</f>
        <v>1570037.4900000002</v>
      </c>
      <c r="E101" s="308">
        <f>E79+E100</f>
        <v>1570037.4900000002</v>
      </c>
      <c r="F101" s="308">
        <f>F79+F100</f>
        <v>1375614.1900000002</v>
      </c>
      <c r="G101" s="309">
        <f>F101-E101</f>
        <v>-194423.30000000005</v>
      </c>
      <c r="H101" s="384">
        <f>F101/E101</f>
        <v>0.8761664602034439</v>
      </c>
      <c r="I101" s="301">
        <f>F101-D101</f>
        <v>-194423.30000000005</v>
      </c>
      <c r="J101" s="302">
        <f>F101/D101</f>
        <v>0.8761664602034439</v>
      </c>
      <c r="K101" s="301"/>
      <c r="L101" s="301"/>
      <c r="M101" s="301"/>
      <c r="N101" s="301">
        <v>1089679.76</v>
      </c>
      <c r="O101" s="301">
        <f>D101-N101</f>
        <v>480357.7300000002</v>
      </c>
      <c r="P101" s="302">
        <f>D101/N101</f>
        <v>1.4408246786193406</v>
      </c>
      <c r="Q101" s="301">
        <f>Q79+Q100</f>
        <v>1089679.76</v>
      </c>
      <c r="R101" s="301">
        <f>R79+R100</f>
        <v>285934.43000000005</v>
      </c>
      <c r="S101" s="302">
        <f t="shared" si="40"/>
        <v>1.2624022584396724</v>
      </c>
      <c r="T101" s="309">
        <f>T79+T100</f>
        <v>172064.18</v>
      </c>
      <c r="U101" s="309">
        <f>U79+U100</f>
        <v>74042.73</v>
      </c>
      <c r="V101" s="301">
        <f>U101-T101</f>
        <v>-98021.45</v>
      </c>
      <c r="W101" s="302">
        <f>U101/T101</f>
        <v>0.43032041881116684</v>
      </c>
      <c r="X101" s="363">
        <f>S101-P101</f>
        <v>-0.17842242017966825</v>
      </c>
    </row>
    <row r="102" spans="2:24" ht="15">
      <c r="B102" s="20" t="s">
        <v>34</v>
      </c>
      <c r="U102" s="25"/>
      <c r="X102" s="363"/>
    </row>
    <row r="103" spans="2:24" ht="15">
      <c r="B103" s="4" t="s">
        <v>36</v>
      </c>
      <c r="C103" s="76">
        <v>5</v>
      </c>
      <c r="D103" s="4" t="s">
        <v>35</v>
      </c>
      <c r="U103" s="78"/>
      <c r="X103" s="363"/>
    </row>
    <row r="104" spans="2:24" ht="30.75">
      <c r="B104" s="52" t="s">
        <v>53</v>
      </c>
      <c r="C104" s="29">
        <f>IF(V79&lt;0,ABS(V79/C103),0)</f>
        <v>7958.618000000002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/>
    </row>
    <row r="105" spans="2:24" ht="34.5" customHeight="1">
      <c r="B105" s="53" t="s">
        <v>55</v>
      </c>
      <c r="C105" s="81">
        <v>43090</v>
      </c>
      <c r="D105" s="29">
        <v>4461.76</v>
      </c>
      <c r="G105" s="4" t="s">
        <v>58</v>
      </c>
      <c r="U105" s="443"/>
      <c r="V105" s="443"/>
      <c r="X105" s="363"/>
    </row>
    <row r="106" spans="3:24" ht="15">
      <c r="C106" s="81">
        <v>43089</v>
      </c>
      <c r="D106" s="29">
        <v>7558.3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/>
    </row>
    <row r="107" spans="3:24" ht="15.75" customHeight="1">
      <c r="C107" s="81">
        <v>43088</v>
      </c>
      <c r="D107" s="29">
        <v>4810.6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/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/>
    </row>
    <row r="109" spans="2:24" ht="18" customHeight="1">
      <c r="B109" s="437" t="s">
        <v>56</v>
      </c>
      <c r="C109" s="438"/>
      <c r="D109" s="133">
        <v>5277.663820000001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/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/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403"/>
      <c r="R111" s="403"/>
      <c r="S111" s="403"/>
      <c r="T111" s="3"/>
      <c r="U111" s="3"/>
      <c r="V111" s="3"/>
      <c r="W111" s="3"/>
      <c r="X111" s="363"/>
    </row>
    <row r="112" spans="2:24" ht="15" hidden="1">
      <c r="B112" s="285" t="s">
        <v>195</v>
      </c>
      <c r="D112" s="68">
        <f>D60+D63+D64</f>
        <v>1530</v>
      </c>
      <c r="E112" s="68">
        <f>E60+E63+E64</f>
        <v>1530</v>
      </c>
      <c r="F112" s="203">
        <f>F60+F63+F64</f>
        <v>1907.3200000000002</v>
      </c>
      <c r="G112" s="68">
        <f>G60+G63+G64</f>
        <v>377.3200000000001</v>
      </c>
      <c r="H112" s="69"/>
      <c r="I112" s="69"/>
      <c r="Q112" s="3"/>
      <c r="R112" s="3"/>
      <c r="S112" s="3"/>
      <c r="T112" s="113"/>
      <c r="U112" s="113"/>
      <c r="V112" s="113"/>
      <c r="W112" s="3"/>
      <c r="X112" s="363"/>
    </row>
    <row r="113" spans="4:24" ht="15" hidden="1">
      <c r="D113" s="78"/>
      <c r="I113" s="29"/>
      <c r="Q113" s="3"/>
      <c r="R113" s="3"/>
      <c r="S113" s="3"/>
      <c r="T113" s="3"/>
      <c r="U113" s="442"/>
      <c r="V113" s="442"/>
      <c r="W113" s="3"/>
      <c r="X113" s="363"/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1294791.6</v>
      </c>
      <c r="F114" s="229">
        <f>F9+F15+F18+F19+F23+F54+F57+F77+F71</f>
        <v>1275860.3299999998</v>
      </c>
      <c r="G114" s="29">
        <f>F114-E114</f>
        <v>-18931.27000000025</v>
      </c>
      <c r="H114" s="230">
        <f>F114/E114</f>
        <v>0.9853789057636764</v>
      </c>
      <c r="I114" s="29">
        <f>F114-D114</f>
        <v>-18931.27000000025</v>
      </c>
      <c r="J114" s="230">
        <f>F114/D114</f>
        <v>0.9853789057636764</v>
      </c>
      <c r="K114" s="230"/>
      <c r="L114" s="230"/>
      <c r="M114" s="230"/>
      <c r="N114" s="230"/>
      <c r="O114" s="230"/>
      <c r="Q114" s="3"/>
      <c r="R114" s="3"/>
      <c r="S114" s="3"/>
      <c r="T114" s="113"/>
      <c r="U114" s="113"/>
      <c r="V114" s="113"/>
      <c r="W114" s="434"/>
      <c r="X114" s="363"/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62676.5</v>
      </c>
      <c r="F115" s="229">
        <f>F55+F56+F58+F60+F62+F63+F64+F65+F66+F72+F76+F59+F78</f>
        <v>65968.15</v>
      </c>
      <c r="G115" s="29">
        <f>G55+G56+G58+G60+G62+G63+G64+G65+G66+G72+G76+G59</f>
        <v>3296.529999999997</v>
      </c>
      <c r="H115" s="230">
        <f>F115/E115</f>
        <v>1.0525180889168986</v>
      </c>
      <c r="I115" s="29">
        <f>I55+I56+I58+I60+I62+I63+I64+I65+I66+I72+I76+I59</f>
        <v>3296.529999999997</v>
      </c>
      <c r="J115" s="230">
        <f>F115/D115</f>
        <v>1.0525180889168986</v>
      </c>
      <c r="K115" s="230"/>
      <c r="L115" s="230"/>
      <c r="M115" s="230"/>
      <c r="N115" s="230"/>
      <c r="O115" s="230"/>
      <c r="Q115" s="113"/>
      <c r="R115" s="113"/>
      <c r="S115" s="113"/>
      <c r="T115" s="113"/>
      <c r="U115" s="113"/>
      <c r="V115" s="113"/>
      <c r="W115" s="434"/>
      <c r="X115" s="363"/>
    </row>
    <row r="116" spans="2:24" ht="15" hidden="1">
      <c r="B116" s="4" t="s">
        <v>121</v>
      </c>
      <c r="D116" s="29">
        <f>SUM(D114:D115)</f>
        <v>1357468.1</v>
      </c>
      <c r="E116" s="29">
        <f>SUM(E114:E115)</f>
        <v>1357468.1</v>
      </c>
      <c r="F116" s="29">
        <f>SUM(F114:F115)</f>
        <v>1341828.4799999997</v>
      </c>
      <c r="G116" s="29">
        <f>SUM(G114:G115)</f>
        <v>-15634.740000000254</v>
      </c>
      <c r="H116" s="230">
        <f>F116/E116</f>
        <v>0.9884788305522609</v>
      </c>
      <c r="I116" s="29">
        <f>SUM(I114:I115)</f>
        <v>-15634.740000000254</v>
      </c>
      <c r="J116" s="230">
        <f>F116/D116</f>
        <v>0.9884788305522609</v>
      </c>
      <c r="K116" s="230"/>
      <c r="L116" s="230"/>
      <c r="M116" s="230"/>
      <c r="N116" s="230"/>
      <c r="O116" s="230"/>
      <c r="Q116" s="113"/>
      <c r="R116" s="113"/>
      <c r="S116" s="113"/>
      <c r="T116" s="113"/>
      <c r="U116" s="113"/>
      <c r="V116" s="113"/>
      <c r="W116" s="434"/>
      <c r="X116" s="363"/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113"/>
      <c r="R117" s="113"/>
      <c r="S117" s="113"/>
      <c r="T117" s="113"/>
      <c r="U117" s="113"/>
      <c r="V117" s="113"/>
      <c r="W117" s="113"/>
      <c r="X117" s="363"/>
    </row>
    <row r="118" spans="5:24" ht="15" hidden="1">
      <c r="E118" s="4" t="s">
        <v>58</v>
      </c>
      <c r="Q118" s="3"/>
      <c r="R118" s="3"/>
      <c r="S118" s="3"/>
      <c r="T118" s="3"/>
      <c r="U118" s="3"/>
      <c r="V118" s="3"/>
      <c r="W118" s="3"/>
      <c r="X118" s="363"/>
    </row>
    <row r="119" spans="2:24" ht="15" hidden="1">
      <c r="B119" s="245" t="s">
        <v>165</v>
      </c>
      <c r="E119" s="29">
        <f>E79-E9-E20-E35-E47</f>
        <v>149760.0000000001</v>
      </c>
      <c r="X119" s="363"/>
    </row>
    <row r="120" spans="2:24" ht="15" hidden="1">
      <c r="B120" s="245" t="s">
        <v>166</v>
      </c>
      <c r="E120" s="29">
        <f>E100-E95-E88-E89</f>
        <v>79090</v>
      </c>
      <c r="X120" s="363"/>
    </row>
    <row r="121" ht="15" hidden="1">
      <c r="X121" s="363"/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/>
    </row>
    <row r="123" spans="2:24" ht="23.25" customHeight="1" hidden="1">
      <c r="B123" s="14" t="s">
        <v>31</v>
      </c>
      <c r="C123" s="66"/>
      <c r="D123" s="191">
        <f>D100+D122</f>
        <v>284954.61</v>
      </c>
      <c r="E123" s="191">
        <f>E100+E122</f>
        <v>230648.45</v>
      </c>
      <c r="F123" s="191">
        <f>F100+F122</f>
        <v>54016.159999999996</v>
      </c>
      <c r="G123" s="192">
        <f>F123-E123</f>
        <v>-176632.29</v>
      </c>
      <c r="H123" s="193">
        <f>F123/E123*100</f>
        <v>23.419259916986217</v>
      </c>
      <c r="I123" s="194">
        <f>F123-D123</f>
        <v>-230938.44999999998</v>
      </c>
      <c r="J123" s="194">
        <f>F123/D123*100</f>
        <v>18.956057598085533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50976.28999999999</v>
      </c>
      <c r="S123" s="269">
        <f>F123/Q123</f>
        <v>17.76923355275061</v>
      </c>
      <c r="T123" s="272"/>
      <c r="U123" s="272"/>
      <c r="V123" s="273"/>
      <c r="W123" s="273"/>
      <c r="X123" s="363"/>
    </row>
    <row r="124" spans="2:24" ht="17.25" hidden="1">
      <c r="B124" s="21" t="s">
        <v>181</v>
      </c>
      <c r="C124" s="66"/>
      <c r="D124" s="191">
        <f>D123+D79</f>
        <v>1642445.71</v>
      </c>
      <c r="E124" s="191">
        <f>E123+E79</f>
        <v>1588139.55</v>
      </c>
      <c r="F124" s="191">
        <f>F123+F79</f>
        <v>1395868.51</v>
      </c>
      <c r="G124" s="192">
        <f>F124-E124</f>
        <v>-192271.04000000004</v>
      </c>
      <c r="H124" s="193">
        <f>F124/E124*100</f>
        <v>87.89331579835033</v>
      </c>
      <c r="I124" s="194">
        <f>F124-D124</f>
        <v>-246577.19999999995</v>
      </c>
      <c r="J124" s="194">
        <f>F124/D124*100</f>
        <v>84.98719327532598</v>
      </c>
      <c r="K124" s="194"/>
      <c r="L124" s="194"/>
      <c r="M124" s="194"/>
      <c r="N124" s="194"/>
      <c r="O124" s="194"/>
      <c r="P124" s="221"/>
      <c r="Q124" s="194">
        <f>Q101+Q123</f>
        <v>1092719.6300000001</v>
      </c>
      <c r="R124" s="194">
        <f>F124-Q124</f>
        <v>303148.8799999999</v>
      </c>
      <c r="S124" s="269">
        <f>F124/Q124</f>
        <v>1.277426040200266</v>
      </c>
      <c r="T124" s="274"/>
      <c r="U124" s="274"/>
      <c r="V124" s="273"/>
      <c r="W124" s="273"/>
      <c r="X124" s="363"/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/>
    </row>
    <row r="126" spans="2:24" ht="26.25" hidden="1">
      <c r="B126" s="240" t="s">
        <v>160</v>
      </c>
      <c r="C126" s="239">
        <v>41033900</v>
      </c>
      <c r="D126" s="244">
        <v>243334.5</v>
      </c>
      <c r="E126" s="244">
        <v>56191.6</v>
      </c>
      <c r="F126" s="244">
        <v>56191.6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/>
    </row>
    <row r="127" spans="2:24" ht="26.25" hidden="1">
      <c r="B127" s="240" t="s">
        <v>161</v>
      </c>
      <c r="C127" s="239">
        <v>41034200</v>
      </c>
      <c r="D127" s="244">
        <v>238249.5</v>
      </c>
      <c r="E127" s="244">
        <v>59541.9</v>
      </c>
      <c r="F127" s="244">
        <v>59541.9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/>
    </row>
    <row r="128" spans="2:24" s="242" customFormat="1" ht="25.5" customHeight="1" hidden="1">
      <c r="B128" s="275" t="s">
        <v>158</v>
      </c>
      <c r="C128" s="276"/>
      <c r="D128" s="277" t="e">
        <f>D124+D125</f>
        <v>#N/A</v>
      </c>
      <c r="E128" s="277" t="e">
        <f>E124+E125</f>
        <v>#N/A</v>
      </c>
      <c r="F128" s="277" t="e">
        <f>F124+F125</f>
        <v>#N/A</v>
      </c>
      <c r="G128" s="278" t="e">
        <f>#N/A</f>
        <v>#N/A</v>
      </c>
      <c r="H128" s="277" t="e">
        <f>#N/A</f>
        <v>#N/A</v>
      </c>
      <c r="I128" s="279" t="e">
        <f>#N/A</f>
        <v>#N/A</v>
      </c>
      <c r="J128" s="279" t="e">
        <f>#N/A</f>
        <v>#N/A</v>
      </c>
      <c r="K128" s="314"/>
      <c r="L128" s="314"/>
      <c r="M128" s="314"/>
      <c r="N128" s="314"/>
      <c r="O128" s="314"/>
      <c r="P128" s="347"/>
      <c r="W128" s="243"/>
      <c r="X128" s="363"/>
    </row>
    <row r="129" ht="15" hidden="1">
      <c r="X129" s="363"/>
    </row>
    <row r="130" ht="15" hidden="1">
      <c r="X130" s="363"/>
    </row>
    <row r="131" ht="15" hidden="1">
      <c r="X131" s="363"/>
    </row>
    <row r="132" ht="15" hidden="1">
      <c r="X132" s="363"/>
    </row>
    <row r="133" ht="15" hidden="1">
      <c r="X133" s="363"/>
    </row>
    <row r="134" ht="15" hidden="1">
      <c r="X134" s="363"/>
    </row>
    <row r="135" spans="2:24" ht="15" hidden="1">
      <c r="B135" s="360" t="s">
        <v>285</v>
      </c>
      <c r="X135" s="363"/>
    </row>
    <row r="136" spans="1:24" s="6" customFormat="1" ht="30.75" customHeight="1" hidden="1">
      <c r="A136" s="8"/>
      <c r="B136" s="351" t="str">
        <f>B17</f>
        <v>Рентна плата за спеціальне використання лісових ресурсів</v>
      </c>
      <c r="C136" s="396">
        <f>C17</f>
        <v>13010200</v>
      </c>
      <c r="D136" s="412">
        <f aca="true" t="shared" si="46" ref="D136:S136">D17</f>
        <v>0</v>
      </c>
      <c r="E136" s="412">
        <f t="shared" si="46"/>
        <v>0</v>
      </c>
      <c r="F136" s="414">
        <f t="shared" si="46"/>
        <v>0.49</v>
      </c>
      <c r="G136" s="412">
        <f t="shared" si="46"/>
        <v>0.49</v>
      </c>
      <c r="H136" s="423">
        <f t="shared" si="46"/>
        <v>0</v>
      </c>
      <c r="I136" s="422">
        <f t="shared" si="46"/>
        <v>0.49</v>
      </c>
      <c r="J136" s="423">
        <f t="shared" si="46"/>
        <v>0</v>
      </c>
      <c r="K136" s="225">
        <f t="shared" si="46"/>
        <v>0</v>
      </c>
      <c r="L136" s="225">
        <f t="shared" si="46"/>
        <v>0</v>
      </c>
      <c r="M136" s="225">
        <f t="shared" si="46"/>
        <v>0</v>
      </c>
      <c r="N136" s="422">
        <f t="shared" si="46"/>
        <v>0.17</v>
      </c>
      <c r="O136" s="422">
        <f t="shared" si="46"/>
        <v>-0.17</v>
      </c>
      <c r="P136" s="423">
        <f t="shared" si="46"/>
        <v>0</v>
      </c>
      <c r="Q136" s="422">
        <f t="shared" si="46"/>
        <v>0.17</v>
      </c>
      <c r="R136" s="421">
        <f t="shared" si="46"/>
        <v>0.31999999999999995</v>
      </c>
      <c r="S136" s="423">
        <f t="shared" si="46"/>
        <v>2.88235294117647</v>
      </c>
      <c r="T136" s="399"/>
      <c r="U136" s="399"/>
      <c r="V136" s="399"/>
      <c r="W136" s="399"/>
      <c r="X136" s="363">
        <f aca="true" t="shared" si="47" ref="X136:X145">S136-P136</f>
        <v>2.88235294117647</v>
      </c>
    </row>
    <row r="137" spans="1:24" s="6" customFormat="1" ht="30.75" hidden="1">
      <c r="A137" s="8"/>
      <c r="B137" s="352" t="str">
        <f>B18</f>
        <v>Рентна плата за користування надрами для видобування корисних копалин місцевого значення</v>
      </c>
      <c r="C137" s="396">
        <f>C18</f>
        <v>13030200</v>
      </c>
      <c r="D137" s="412">
        <f aca="true" t="shared" si="48" ref="D137:S137">D18</f>
        <v>125</v>
      </c>
      <c r="E137" s="412">
        <f t="shared" si="48"/>
        <v>125</v>
      </c>
      <c r="F137" s="414">
        <f t="shared" si="48"/>
        <v>220.59</v>
      </c>
      <c r="G137" s="412">
        <f t="shared" si="48"/>
        <v>95.59</v>
      </c>
      <c r="H137" s="423">
        <f t="shared" si="48"/>
        <v>1.76472</v>
      </c>
      <c r="I137" s="412">
        <f t="shared" si="48"/>
        <v>95.59</v>
      </c>
      <c r="J137" s="423">
        <f t="shared" si="48"/>
        <v>176.472</v>
      </c>
      <c r="K137" s="130">
        <f t="shared" si="48"/>
        <v>0</v>
      </c>
      <c r="L137" s="130">
        <f t="shared" si="48"/>
        <v>0</v>
      </c>
      <c r="M137" s="130">
        <f t="shared" si="48"/>
        <v>0</v>
      </c>
      <c r="N137" s="422">
        <f t="shared" si="48"/>
        <v>124.7</v>
      </c>
      <c r="O137" s="422">
        <f t="shared" si="48"/>
        <v>0.29999999999999716</v>
      </c>
      <c r="P137" s="423">
        <f t="shared" si="48"/>
        <v>1.0024057738572574</v>
      </c>
      <c r="Q137" s="422">
        <f t="shared" si="48"/>
        <v>124.7</v>
      </c>
      <c r="R137" s="421">
        <f t="shared" si="48"/>
        <v>95.89</v>
      </c>
      <c r="S137" s="423">
        <f t="shared" si="48"/>
        <v>1.7689655172413794</v>
      </c>
      <c r="T137" s="400"/>
      <c r="U137" s="400"/>
      <c r="V137" s="400"/>
      <c r="W137" s="400"/>
      <c r="X137" s="363">
        <f t="shared" si="47"/>
        <v>0.766559743384122</v>
      </c>
    </row>
    <row r="138" spans="1:24" s="6" customFormat="1" ht="15" hidden="1">
      <c r="A138" s="8"/>
      <c r="B138" s="353" t="str">
        <f aca="true" t="shared" si="49" ref="B138:C141">B56</f>
        <v>Інші надходження (по актам ДФІУ)</v>
      </c>
      <c r="C138" s="397">
        <f t="shared" si="49"/>
        <v>21080500</v>
      </c>
      <c r="D138" s="415">
        <f aca="true" t="shared" si="50" ref="D138:S138">D56</f>
        <v>40</v>
      </c>
      <c r="E138" s="415">
        <f t="shared" si="50"/>
        <v>40</v>
      </c>
      <c r="F138" s="416">
        <f t="shared" si="50"/>
        <v>153.3</v>
      </c>
      <c r="G138" s="415">
        <f t="shared" si="50"/>
        <v>113.30000000000001</v>
      </c>
      <c r="H138" s="424">
        <f t="shared" si="50"/>
        <v>3.8325000000000005</v>
      </c>
      <c r="I138" s="421">
        <f t="shared" si="50"/>
        <v>113.30000000000001</v>
      </c>
      <c r="J138" s="424">
        <f t="shared" si="50"/>
        <v>3.8325000000000005</v>
      </c>
      <c r="K138" s="129">
        <f t="shared" si="50"/>
        <v>0</v>
      </c>
      <c r="L138" s="129">
        <f t="shared" si="50"/>
        <v>0</v>
      </c>
      <c r="M138" s="129">
        <f t="shared" si="50"/>
        <v>0</v>
      </c>
      <c r="N138" s="421">
        <f t="shared" si="50"/>
        <v>31.98</v>
      </c>
      <c r="O138" s="421">
        <f t="shared" si="50"/>
        <v>8.02</v>
      </c>
      <c r="P138" s="424">
        <f t="shared" si="50"/>
        <v>1.2507817385866167</v>
      </c>
      <c r="Q138" s="421">
        <f t="shared" si="50"/>
        <v>31.98</v>
      </c>
      <c r="R138" s="421">
        <f t="shared" si="50"/>
        <v>121.32000000000001</v>
      </c>
      <c r="S138" s="423">
        <f t="shared" si="50"/>
        <v>4.793621013133208</v>
      </c>
      <c r="T138" s="399"/>
      <c r="U138" s="399"/>
      <c r="V138" s="399"/>
      <c r="W138" s="399"/>
      <c r="X138" s="363">
        <f t="shared" si="47"/>
        <v>3.5428392745465915</v>
      </c>
    </row>
    <row r="139" spans="1:24" s="6" customFormat="1" ht="30.75" hidden="1">
      <c r="A139" s="8"/>
      <c r="B139" s="354" t="str">
        <f t="shared" si="49"/>
        <v>Штрафні санкції за порушення законодавства про патентування</v>
      </c>
      <c r="C139" s="398">
        <f t="shared" si="49"/>
        <v>21080900</v>
      </c>
      <c r="D139" s="417">
        <f aca="true" t="shared" si="51" ref="D139:S139">D57</f>
        <v>13</v>
      </c>
      <c r="E139" s="417">
        <f t="shared" si="51"/>
        <v>13</v>
      </c>
      <c r="F139" s="418">
        <f t="shared" si="51"/>
        <v>12.95</v>
      </c>
      <c r="G139" s="417">
        <f t="shared" si="51"/>
        <v>-0.05000000000000071</v>
      </c>
      <c r="H139" s="425">
        <f t="shared" si="51"/>
        <v>0.9961538461538461</v>
      </c>
      <c r="I139" s="417">
        <f t="shared" si="51"/>
        <v>-0.05000000000000071</v>
      </c>
      <c r="J139" s="425">
        <f t="shared" si="51"/>
        <v>0.9961538461538461</v>
      </c>
      <c r="K139" s="238">
        <f t="shared" si="51"/>
        <v>0</v>
      </c>
      <c r="L139" s="238">
        <f t="shared" si="51"/>
        <v>0</v>
      </c>
      <c r="M139" s="238">
        <f t="shared" si="51"/>
        <v>0</v>
      </c>
      <c r="N139" s="426">
        <f t="shared" si="51"/>
        <v>0.1</v>
      </c>
      <c r="O139" s="426">
        <f t="shared" si="51"/>
        <v>12.9</v>
      </c>
      <c r="P139" s="425">
        <f t="shared" si="51"/>
        <v>130</v>
      </c>
      <c r="Q139" s="426">
        <f t="shared" si="51"/>
        <v>0.1</v>
      </c>
      <c r="R139" s="426">
        <f t="shared" si="51"/>
        <v>12.85</v>
      </c>
      <c r="S139" s="430">
        <f t="shared" si="51"/>
        <v>0</v>
      </c>
      <c r="T139" s="401"/>
      <c r="U139" s="401"/>
      <c r="V139" s="401"/>
      <c r="W139" s="401"/>
      <c r="X139" s="363">
        <f t="shared" si="47"/>
        <v>-130</v>
      </c>
    </row>
    <row r="140" spans="1:24" s="6" customFormat="1" ht="15" hidden="1">
      <c r="A140" s="8"/>
      <c r="B140" s="352" t="str">
        <f t="shared" si="49"/>
        <v>Адмінстративні штрафи та інші санкції</v>
      </c>
      <c r="C140" s="396">
        <f t="shared" si="49"/>
        <v>21081100</v>
      </c>
      <c r="D140" s="412">
        <f aca="true" t="shared" si="52" ref="D140:S140">D58</f>
        <v>660</v>
      </c>
      <c r="E140" s="412">
        <f t="shared" si="52"/>
        <v>660</v>
      </c>
      <c r="F140" s="414">
        <f t="shared" si="52"/>
        <v>692.13</v>
      </c>
      <c r="G140" s="412">
        <f t="shared" si="52"/>
        <v>32.129999999999995</v>
      </c>
      <c r="H140" s="423">
        <f t="shared" si="52"/>
        <v>1.0486818181818183</v>
      </c>
      <c r="I140" s="412">
        <f t="shared" si="52"/>
        <v>32.129999999999995</v>
      </c>
      <c r="J140" s="423">
        <f t="shared" si="52"/>
        <v>1.0486818181818183</v>
      </c>
      <c r="K140" s="130">
        <f t="shared" si="52"/>
        <v>0</v>
      </c>
      <c r="L140" s="130">
        <f t="shared" si="52"/>
        <v>0</v>
      </c>
      <c r="M140" s="130">
        <f t="shared" si="52"/>
        <v>0</v>
      </c>
      <c r="N140" s="422">
        <f t="shared" si="52"/>
        <v>241.07</v>
      </c>
      <c r="O140" s="422">
        <f t="shared" si="52"/>
        <v>418.93</v>
      </c>
      <c r="P140" s="423">
        <f t="shared" si="52"/>
        <v>2.7377940017422326</v>
      </c>
      <c r="Q140" s="422">
        <f t="shared" si="52"/>
        <v>241.07</v>
      </c>
      <c r="R140" s="421">
        <f t="shared" si="52"/>
        <v>451.06</v>
      </c>
      <c r="S140" s="423">
        <f t="shared" si="52"/>
        <v>2.8710747915543204</v>
      </c>
      <c r="T140" s="400"/>
      <c r="U140" s="400"/>
      <c r="V140" s="400"/>
      <c r="W140" s="400"/>
      <c r="X140" s="363">
        <f t="shared" si="47"/>
        <v>0.1332807898120878</v>
      </c>
    </row>
    <row r="141" spans="1:24" s="6" customFormat="1" ht="46.5" hidden="1">
      <c r="A141" s="8"/>
      <c r="B141" s="352" t="str">
        <f t="shared" si="49"/>
        <v>Адміністративні штрафи та штрафні санкції за порушення законодавства у сфері виробництва та обігу  алкогольних напоїв та тютюнових виробів</v>
      </c>
      <c r="C141" s="396">
        <f t="shared" si="49"/>
        <v>21081500</v>
      </c>
      <c r="D141" s="412">
        <f aca="true" t="shared" si="53" ref="D141:S141">D59</f>
        <v>97.5</v>
      </c>
      <c r="E141" s="412">
        <f t="shared" si="53"/>
        <v>97.5</v>
      </c>
      <c r="F141" s="414">
        <f t="shared" si="53"/>
        <v>122.25</v>
      </c>
      <c r="G141" s="412">
        <f t="shared" si="53"/>
        <v>24.75</v>
      </c>
      <c r="H141" s="423">
        <f t="shared" si="53"/>
        <v>1.2538461538461538</v>
      </c>
      <c r="I141" s="412">
        <f t="shared" si="53"/>
        <v>24.75</v>
      </c>
      <c r="J141" s="423">
        <f t="shared" si="53"/>
        <v>1.2538461538461538</v>
      </c>
      <c r="K141" s="130">
        <f t="shared" si="53"/>
        <v>0</v>
      </c>
      <c r="L141" s="130">
        <f t="shared" si="53"/>
        <v>0</v>
      </c>
      <c r="M141" s="130">
        <f t="shared" si="53"/>
        <v>0</v>
      </c>
      <c r="N141" s="422">
        <f t="shared" si="53"/>
        <v>86.37</v>
      </c>
      <c r="O141" s="422">
        <f t="shared" si="53"/>
        <v>11.129999999999995</v>
      </c>
      <c r="P141" s="423">
        <f t="shared" si="53"/>
        <v>1.1288641889544981</v>
      </c>
      <c r="Q141" s="422">
        <f t="shared" si="53"/>
        <v>86.37</v>
      </c>
      <c r="R141" s="421">
        <f t="shared" si="53"/>
        <v>35.879999999999995</v>
      </c>
      <c r="S141" s="423">
        <f t="shared" si="53"/>
        <v>1.4154220215352553</v>
      </c>
      <c r="T141" s="400"/>
      <c r="U141" s="400"/>
      <c r="V141" s="400"/>
      <c r="W141" s="400"/>
      <c r="X141" s="363">
        <f t="shared" si="47"/>
        <v>0.2865578325807572</v>
      </c>
    </row>
    <row r="142" spans="1:24" s="6" customFormat="1" ht="46.5" hidden="1">
      <c r="A142" s="8"/>
      <c r="B142" s="352" t="str">
        <f>B71</f>
        <v>Надходження сум кредиторської та депонентської заборгованості підприємств, організацій та установ, щодо яких минув строк позовної давності</v>
      </c>
      <c r="C142" s="396" t="str">
        <f>C71</f>
        <v>24030000</v>
      </c>
      <c r="D142" s="412">
        <f aca="true" t="shared" si="54" ref="D142:S142">D71</f>
        <v>2.5</v>
      </c>
      <c r="E142" s="412">
        <f t="shared" si="54"/>
        <v>2.5</v>
      </c>
      <c r="F142" s="414">
        <f t="shared" si="54"/>
        <v>2.04</v>
      </c>
      <c r="G142" s="412">
        <f t="shared" si="54"/>
        <v>-0.45999999999999996</v>
      </c>
      <c r="H142" s="423">
        <f t="shared" si="54"/>
        <v>0.8160000000000001</v>
      </c>
      <c r="I142" s="412">
        <f t="shared" si="54"/>
        <v>-0.45999999999999996</v>
      </c>
      <c r="J142" s="423">
        <f t="shared" si="54"/>
        <v>0.8160000000000001</v>
      </c>
      <c r="K142" s="130">
        <f t="shared" si="54"/>
        <v>0</v>
      </c>
      <c r="L142" s="130">
        <f t="shared" si="54"/>
        <v>0</v>
      </c>
      <c r="M142" s="130">
        <f t="shared" si="54"/>
        <v>0</v>
      </c>
      <c r="N142" s="422">
        <f t="shared" si="54"/>
        <v>2.46</v>
      </c>
      <c r="O142" s="422">
        <f t="shared" si="54"/>
        <v>0.040000000000000036</v>
      </c>
      <c r="P142" s="423">
        <f t="shared" si="54"/>
        <v>1.016260162601626</v>
      </c>
      <c r="Q142" s="422">
        <f t="shared" si="54"/>
        <v>2.46</v>
      </c>
      <c r="R142" s="421">
        <f t="shared" si="54"/>
        <v>-0.41999999999999993</v>
      </c>
      <c r="S142" s="423">
        <f t="shared" si="54"/>
        <v>0.8292682926829269</v>
      </c>
      <c r="T142" s="400"/>
      <c r="U142" s="400"/>
      <c r="V142" s="400"/>
      <c r="W142" s="400"/>
      <c r="X142" s="363">
        <f t="shared" si="47"/>
        <v>-0.1869918699186992</v>
      </c>
    </row>
    <row r="143" spans="1:24" s="6" customFormat="1" ht="15" hidden="1">
      <c r="A143" s="8"/>
      <c r="B143" s="358" t="str">
        <f>B77</f>
        <v>Надходження коштів від реалізації безхазяйного майна</v>
      </c>
      <c r="C143" s="396">
        <f>C77</f>
        <v>31010200</v>
      </c>
      <c r="D143" s="419">
        <f aca="true" t="shared" si="55" ref="D143:S143">D77</f>
        <v>15</v>
      </c>
      <c r="E143" s="419">
        <f t="shared" si="55"/>
        <v>15</v>
      </c>
      <c r="F143" s="420">
        <f t="shared" si="55"/>
        <v>34.22</v>
      </c>
      <c r="G143" s="419">
        <f t="shared" si="55"/>
        <v>19.22</v>
      </c>
      <c r="H143" s="409">
        <f t="shared" si="55"/>
        <v>2.2813333333333334</v>
      </c>
      <c r="I143" s="419">
        <f t="shared" si="55"/>
        <v>19.22</v>
      </c>
      <c r="J143" s="409">
        <f t="shared" si="55"/>
        <v>2.2813333333333334</v>
      </c>
      <c r="K143" s="131">
        <f t="shared" si="55"/>
        <v>0</v>
      </c>
      <c r="L143" s="131">
        <f t="shared" si="55"/>
        <v>0</v>
      </c>
      <c r="M143" s="131">
        <f t="shared" si="55"/>
        <v>0</v>
      </c>
      <c r="N143" s="427">
        <f t="shared" si="55"/>
        <v>13.52</v>
      </c>
      <c r="O143" s="427">
        <f t="shared" si="55"/>
        <v>1.4800000000000004</v>
      </c>
      <c r="P143" s="409">
        <f t="shared" si="55"/>
        <v>1.1094674556213018</v>
      </c>
      <c r="Q143" s="427">
        <f t="shared" si="55"/>
        <v>13.52</v>
      </c>
      <c r="R143" s="428">
        <f t="shared" si="55"/>
        <v>20.7</v>
      </c>
      <c r="S143" s="409">
        <f t="shared" si="55"/>
        <v>2.5310650887573964</v>
      </c>
      <c r="T143" s="402"/>
      <c r="U143" s="402"/>
      <c r="V143" s="402"/>
      <c r="W143" s="402"/>
      <c r="X143" s="363">
        <f t="shared" si="47"/>
        <v>1.4215976331360947</v>
      </c>
    </row>
    <row r="144" spans="1:24" s="6" customFormat="1" ht="30.75" hidden="1">
      <c r="A144" s="8"/>
      <c r="B144" s="358" t="str">
        <f>B78</f>
        <v>Надходження коштів від Держ фонду дорогоцінних металів та дорогоцінного каміння</v>
      </c>
      <c r="C144" s="396">
        <f>C78</f>
        <v>31020000</v>
      </c>
      <c r="D144" s="419">
        <f aca="true" t="shared" si="56" ref="D144:S144">D78</f>
        <v>0</v>
      </c>
      <c r="E144" s="419">
        <f t="shared" si="56"/>
        <v>0</v>
      </c>
      <c r="F144" s="420">
        <f t="shared" si="56"/>
        <v>-4.88</v>
      </c>
      <c r="G144" s="419">
        <f t="shared" si="56"/>
        <v>-4.88</v>
      </c>
      <c r="H144" s="409" t="e">
        <f t="shared" si="56"/>
        <v>#DIV/0!</v>
      </c>
      <c r="I144" s="419">
        <f t="shared" si="56"/>
        <v>-4.88</v>
      </c>
      <c r="J144" s="409">
        <f t="shared" si="56"/>
        <v>0</v>
      </c>
      <c r="K144" s="131">
        <f t="shared" si="56"/>
        <v>0</v>
      </c>
      <c r="L144" s="131">
        <f t="shared" si="56"/>
        <v>0</v>
      </c>
      <c r="M144" s="131">
        <f t="shared" si="56"/>
        <v>0</v>
      </c>
      <c r="N144" s="427">
        <f t="shared" si="56"/>
        <v>7.37</v>
      </c>
      <c r="O144" s="427">
        <f t="shared" si="56"/>
        <v>-7.37</v>
      </c>
      <c r="P144" s="409">
        <f t="shared" si="56"/>
        <v>0</v>
      </c>
      <c r="Q144" s="427">
        <f t="shared" si="56"/>
        <v>7.37</v>
      </c>
      <c r="R144" s="428">
        <f t="shared" si="56"/>
        <v>-12.25</v>
      </c>
      <c r="S144" s="409">
        <f t="shared" si="56"/>
        <v>-0.6621438263229308</v>
      </c>
      <c r="T144" s="402"/>
      <c r="U144" s="402"/>
      <c r="V144" s="402"/>
      <c r="W144" s="402"/>
      <c r="X144" s="363">
        <f t="shared" si="47"/>
        <v>-0.6621438263229308</v>
      </c>
    </row>
    <row r="145" spans="4:24" ht="15" hidden="1">
      <c r="D145" s="406">
        <f>D136+D137+D138+D139+D140+D141+D142+D143+D144</f>
        <v>953</v>
      </c>
      <c r="E145" s="406">
        <f>E136+E137+E138+E139+E140+E141+E142+E143+E144</f>
        <v>953</v>
      </c>
      <c r="F145" s="407">
        <f>F136+F137+F138+F139+F140+F141+F142+F143+F144</f>
        <v>1233.09</v>
      </c>
      <c r="G145" s="406">
        <f>F145-E145</f>
        <v>280.0899999999999</v>
      </c>
      <c r="H145" s="339">
        <f>F145/E145</f>
        <v>1.293903462749213</v>
      </c>
      <c r="I145" s="406">
        <f>F145-D145</f>
        <v>280.0899999999999</v>
      </c>
      <c r="J145" s="339">
        <f>F145/D145</f>
        <v>1.293903462749213</v>
      </c>
      <c r="K145" s="90"/>
      <c r="L145" s="90"/>
      <c r="M145" s="90"/>
      <c r="N145" s="406">
        <f>N136+N137+N138+N139+N140+N141+N142+N143+N144</f>
        <v>507.73999999999995</v>
      </c>
      <c r="O145" s="406">
        <f>D145-N145</f>
        <v>445.26000000000005</v>
      </c>
      <c r="P145" s="339">
        <f>D145/N145</f>
        <v>1.876944893055501</v>
      </c>
      <c r="Q145" s="406">
        <f>Q136+Q137+Q138+Q139+Q140+Q141+Q142+Q143+Q144</f>
        <v>507.73999999999995</v>
      </c>
      <c r="R145" s="406">
        <f>F145-Q145</f>
        <v>725.3499999999999</v>
      </c>
      <c r="S145" s="429">
        <f>F145/Q145</f>
        <v>2.4285854965139637</v>
      </c>
      <c r="T145" s="403"/>
      <c r="U145" s="403"/>
      <c r="V145" s="403"/>
      <c r="W145" s="403"/>
      <c r="X145" s="366">
        <f t="shared" si="47"/>
        <v>0.5516406034584627</v>
      </c>
    </row>
    <row r="146" spans="19:24" ht="15" hidden="1">
      <c r="S146" s="69"/>
      <c r="T146" s="403"/>
      <c r="U146" s="403"/>
      <c r="V146" s="403"/>
      <c r="W146" s="403"/>
      <c r="X146" s="363"/>
    </row>
    <row r="147" spans="2:24" ht="15" hidden="1">
      <c r="B147" s="284" t="s">
        <v>255</v>
      </c>
      <c r="S147" s="69"/>
      <c r="T147" s="403"/>
      <c r="U147" s="403"/>
      <c r="V147" s="403"/>
      <c r="W147" s="403"/>
      <c r="X147" s="363"/>
    </row>
    <row r="148" spans="1:24" s="6" customFormat="1" ht="30.75" hidden="1">
      <c r="A148" s="8"/>
      <c r="B148" s="350" t="str">
        <f aca="true" t="shared" si="57" ref="B148:C152">B60</f>
        <v>Адміністративний збір за проведення державної реєстрації юридичних осіб та фізичних осіб - підпр</v>
      </c>
      <c r="C148" s="393">
        <f t="shared" si="57"/>
        <v>22010300</v>
      </c>
      <c r="D148" s="412">
        <f aca="true" t="shared" si="58" ref="D148:S148">D60</f>
        <v>980</v>
      </c>
      <c r="E148" s="412">
        <f t="shared" si="58"/>
        <v>980</v>
      </c>
      <c r="F148" s="414">
        <f t="shared" si="58"/>
        <v>1173.38</v>
      </c>
      <c r="G148" s="412">
        <f t="shared" si="58"/>
        <v>193.3800000000001</v>
      </c>
      <c r="H148" s="410">
        <f t="shared" si="58"/>
        <v>1.197326530612245</v>
      </c>
      <c r="I148" s="412">
        <f t="shared" si="58"/>
        <v>193.3800000000001</v>
      </c>
      <c r="J148" s="410">
        <f t="shared" si="58"/>
        <v>1.197326530612245</v>
      </c>
      <c r="K148" s="130">
        <f t="shared" si="58"/>
        <v>0</v>
      </c>
      <c r="L148" s="130">
        <f t="shared" si="58"/>
        <v>0</v>
      </c>
      <c r="M148" s="130">
        <f t="shared" si="58"/>
        <v>0</v>
      </c>
      <c r="N148" s="412">
        <f t="shared" si="58"/>
        <v>791.33</v>
      </c>
      <c r="O148" s="412">
        <f t="shared" si="58"/>
        <v>188.66999999999996</v>
      </c>
      <c r="P148" s="410">
        <f t="shared" si="58"/>
        <v>1.238421391834001</v>
      </c>
      <c r="Q148" s="412">
        <f t="shared" si="58"/>
        <v>791.33</v>
      </c>
      <c r="R148" s="415">
        <f t="shared" si="58"/>
        <v>382.05000000000007</v>
      </c>
      <c r="S148" s="410">
        <f t="shared" si="58"/>
        <v>1.4827947885205919</v>
      </c>
      <c r="T148" s="400"/>
      <c r="U148" s="400"/>
      <c r="V148" s="400"/>
      <c r="W148" s="400"/>
      <c r="X148" s="363">
        <f aca="true" t="shared" si="59" ref="X148:X153">S148-P148</f>
        <v>0.24437339668659086</v>
      </c>
    </row>
    <row r="149" spans="1:24" s="6" customFormat="1" ht="15" hidden="1">
      <c r="A149" s="8"/>
      <c r="B149" s="350" t="str">
        <f t="shared" si="57"/>
        <v>Плата за сертифікати</v>
      </c>
      <c r="C149" s="393">
        <f t="shared" si="57"/>
        <v>22010200</v>
      </c>
      <c r="D149" s="412">
        <f aca="true" t="shared" si="60" ref="D149:S149">D61</f>
        <v>23</v>
      </c>
      <c r="E149" s="412">
        <f t="shared" si="60"/>
        <v>23</v>
      </c>
      <c r="F149" s="414">
        <f t="shared" si="60"/>
        <v>23.38</v>
      </c>
      <c r="G149" s="412">
        <f t="shared" si="60"/>
        <v>0.379999999999999</v>
      </c>
      <c r="H149" s="410">
        <f t="shared" si="60"/>
        <v>1.0165217391304346</v>
      </c>
      <c r="I149" s="412">
        <f t="shared" si="60"/>
        <v>0.379999999999999</v>
      </c>
      <c r="J149" s="410">
        <f t="shared" si="60"/>
        <v>1.0165217391304346</v>
      </c>
      <c r="K149" s="130">
        <f t="shared" si="60"/>
        <v>0</v>
      </c>
      <c r="L149" s="130">
        <f t="shared" si="60"/>
        <v>0</v>
      </c>
      <c r="M149" s="130">
        <f t="shared" si="60"/>
        <v>0</v>
      </c>
      <c r="N149" s="412">
        <f t="shared" si="60"/>
        <v>0</v>
      </c>
      <c r="O149" s="412">
        <f t="shared" si="60"/>
        <v>23</v>
      </c>
      <c r="P149" s="410" t="e">
        <f t="shared" si="60"/>
        <v>#DIV/0!</v>
      </c>
      <c r="Q149" s="412">
        <f t="shared" si="60"/>
        <v>0</v>
      </c>
      <c r="R149" s="415">
        <f t="shared" si="60"/>
        <v>23.38</v>
      </c>
      <c r="S149" s="410">
        <f t="shared" si="60"/>
        <v>0</v>
      </c>
      <c r="T149" s="400"/>
      <c r="U149" s="400"/>
      <c r="V149" s="400"/>
      <c r="W149" s="400"/>
      <c r="X149" s="363" t="e">
        <f t="shared" si="59"/>
        <v>#DIV/0!</v>
      </c>
    </row>
    <row r="150" spans="1:24" s="6" customFormat="1" ht="15" hidden="1">
      <c r="A150" s="8"/>
      <c r="B150" s="356" t="str">
        <f t="shared" si="57"/>
        <v>Плата за надання інших адміністративних послуг</v>
      </c>
      <c r="C150" s="394">
        <f t="shared" si="57"/>
        <v>22012500</v>
      </c>
      <c r="D150" s="413">
        <f aca="true" t="shared" si="61" ref="D150:S150">D62</f>
        <v>19000</v>
      </c>
      <c r="E150" s="413">
        <f t="shared" si="61"/>
        <v>19000</v>
      </c>
      <c r="F150" s="431">
        <f t="shared" si="61"/>
        <v>19706.67</v>
      </c>
      <c r="G150" s="413">
        <f t="shared" si="61"/>
        <v>706.6699999999983</v>
      </c>
      <c r="H150" s="411">
        <f t="shared" si="61"/>
        <v>1.0371931578947367</v>
      </c>
      <c r="I150" s="413">
        <f t="shared" si="61"/>
        <v>706.6699999999983</v>
      </c>
      <c r="J150" s="411">
        <f t="shared" si="61"/>
        <v>1.0371931578947367</v>
      </c>
      <c r="K150" s="33">
        <f t="shared" si="61"/>
        <v>0</v>
      </c>
      <c r="L150" s="33">
        <f t="shared" si="61"/>
        <v>0</v>
      </c>
      <c r="M150" s="33">
        <f t="shared" si="61"/>
        <v>0</v>
      </c>
      <c r="N150" s="413">
        <f t="shared" si="61"/>
        <v>11422.5</v>
      </c>
      <c r="O150" s="413">
        <f t="shared" si="61"/>
        <v>7577.5</v>
      </c>
      <c r="P150" s="411">
        <f t="shared" si="61"/>
        <v>1.663383672576056</v>
      </c>
      <c r="Q150" s="413">
        <f t="shared" si="61"/>
        <v>11422.5</v>
      </c>
      <c r="R150" s="432">
        <f t="shared" si="61"/>
        <v>8284.169999999998</v>
      </c>
      <c r="S150" s="411">
        <f t="shared" si="61"/>
        <v>1.7252501641497044</v>
      </c>
      <c r="T150" s="404"/>
      <c r="U150" s="404"/>
      <c r="V150" s="404"/>
      <c r="W150" s="404"/>
      <c r="X150" s="363">
        <f t="shared" si="59"/>
        <v>0.06186649157364843</v>
      </c>
    </row>
    <row r="151" spans="1:24" s="6" customFormat="1" ht="30.75" hidden="1">
      <c r="A151" s="8"/>
      <c r="B151" s="356" t="str">
        <f t="shared" si="57"/>
        <v>Адміністративний збір за державну реєстрацію речових прав на нерухоме майно та їх обтяжень</v>
      </c>
      <c r="C151" s="394">
        <f t="shared" si="57"/>
        <v>22012600</v>
      </c>
      <c r="D151" s="413">
        <f aca="true" t="shared" si="62" ref="D151:S151">D63</f>
        <v>530</v>
      </c>
      <c r="E151" s="413">
        <f t="shared" si="62"/>
        <v>530</v>
      </c>
      <c r="F151" s="431">
        <f t="shared" si="62"/>
        <v>694.9</v>
      </c>
      <c r="G151" s="413">
        <f t="shared" si="62"/>
        <v>164.89999999999998</v>
      </c>
      <c r="H151" s="411">
        <f t="shared" si="62"/>
        <v>1.311132075471698</v>
      </c>
      <c r="I151" s="413">
        <f t="shared" si="62"/>
        <v>164.89999999999998</v>
      </c>
      <c r="J151" s="411">
        <f t="shared" si="62"/>
        <v>1.311132075471698</v>
      </c>
      <c r="K151" s="33">
        <f t="shared" si="62"/>
        <v>0</v>
      </c>
      <c r="L151" s="33">
        <f t="shared" si="62"/>
        <v>0</v>
      </c>
      <c r="M151" s="33">
        <f t="shared" si="62"/>
        <v>0</v>
      </c>
      <c r="N151" s="413">
        <f t="shared" si="62"/>
        <v>323.25</v>
      </c>
      <c r="O151" s="413">
        <f t="shared" si="62"/>
        <v>206.75</v>
      </c>
      <c r="P151" s="411">
        <f t="shared" si="62"/>
        <v>1.639597834493426</v>
      </c>
      <c r="Q151" s="413">
        <f t="shared" si="62"/>
        <v>323.25</v>
      </c>
      <c r="R151" s="432">
        <f t="shared" si="62"/>
        <v>371.65</v>
      </c>
      <c r="S151" s="411">
        <f t="shared" si="62"/>
        <v>2.1497293116782674</v>
      </c>
      <c r="T151" s="404"/>
      <c r="U151" s="404"/>
      <c r="V151" s="404"/>
      <c r="W151" s="404"/>
      <c r="X151" s="363">
        <f t="shared" si="59"/>
        <v>0.5101314771848413</v>
      </c>
    </row>
    <row r="152" spans="1:24" s="6" customFormat="1" ht="30.75" hidden="1">
      <c r="A152" s="8"/>
      <c r="B152" s="356" t="str">
        <f t="shared" si="57"/>
        <v>Плата за скорочення термінів надання послуг у сфері державної реєстрації речових прав на нерухоме майно</v>
      </c>
      <c r="C152" s="394">
        <f t="shared" si="57"/>
        <v>22012900</v>
      </c>
      <c r="D152" s="413">
        <f aca="true" t="shared" si="63" ref="D152:S152">D64</f>
        <v>20</v>
      </c>
      <c r="E152" s="413">
        <f t="shared" si="63"/>
        <v>20</v>
      </c>
      <c r="F152" s="431">
        <f t="shared" si="63"/>
        <v>39.04</v>
      </c>
      <c r="G152" s="413">
        <f t="shared" si="63"/>
        <v>19.04</v>
      </c>
      <c r="H152" s="411">
        <f t="shared" si="63"/>
        <v>1.952</v>
      </c>
      <c r="I152" s="413">
        <f t="shared" si="63"/>
        <v>19.04</v>
      </c>
      <c r="J152" s="411">
        <f t="shared" si="63"/>
        <v>1.952</v>
      </c>
      <c r="K152" s="33">
        <f t="shared" si="63"/>
        <v>0</v>
      </c>
      <c r="L152" s="33">
        <f t="shared" si="63"/>
        <v>0</v>
      </c>
      <c r="M152" s="33">
        <f t="shared" si="63"/>
        <v>0</v>
      </c>
      <c r="N152" s="413">
        <f t="shared" si="63"/>
        <v>22.36</v>
      </c>
      <c r="O152" s="413">
        <f t="shared" si="63"/>
        <v>-2.3599999999999994</v>
      </c>
      <c r="P152" s="411">
        <f t="shared" si="63"/>
        <v>0.8944543828264758</v>
      </c>
      <c r="Q152" s="413">
        <f t="shared" si="63"/>
        <v>22.36</v>
      </c>
      <c r="R152" s="432">
        <f t="shared" si="63"/>
        <v>16.68</v>
      </c>
      <c r="S152" s="411">
        <f t="shared" si="63"/>
        <v>1.745974955277281</v>
      </c>
      <c r="T152" s="404"/>
      <c r="U152" s="404"/>
      <c r="V152" s="404"/>
      <c r="W152" s="404"/>
      <c r="X152" s="363">
        <f t="shared" si="59"/>
        <v>0.8515205724508051</v>
      </c>
    </row>
    <row r="153" spans="2:24" ht="15" hidden="1">
      <c r="B153" s="284" t="s">
        <v>255</v>
      </c>
      <c r="C153" s="436">
        <v>22010000</v>
      </c>
      <c r="D153" s="406">
        <f>D148+D149+D150+D151+D152</f>
        <v>20553</v>
      </c>
      <c r="E153" s="406">
        <f>E148+E149+E150+E151+E152</f>
        <v>20553</v>
      </c>
      <c r="F153" s="407">
        <f>F148+F149+F150+F151+F152</f>
        <v>21637.370000000003</v>
      </c>
      <c r="G153" s="406">
        <f>F153-E153</f>
        <v>1084.3700000000026</v>
      </c>
      <c r="H153" s="339">
        <f>F153/E153</f>
        <v>1.0527596944484992</v>
      </c>
      <c r="I153" s="406">
        <f>F153-D153</f>
        <v>1084.3700000000026</v>
      </c>
      <c r="J153" s="339">
        <f>F153/D153</f>
        <v>1.0527596944484992</v>
      </c>
      <c r="K153" s="90"/>
      <c r="L153" s="90"/>
      <c r="M153" s="90"/>
      <c r="N153" s="406">
        <f>N148+N149+N150+N151+N152</f>
        <v>12559.44</v>
      </c>
      <c r="O153" s="406">
        <f>D153-N153</f>
        <v>7993.5599999999995</v>
      </c>
      <c r="P153" s="339">
        <f>D153/N153</f>
        <v>1.636458313427987</v>
      </c>
      <c r="Q153" s="406">
        <f>Q148+Q149+Q150+Q151+Q152</f>
        <v>12559.44</v>
      </c>
      <c r="R153" s="406">
        <f>F153-Q153</f>
        <v>9077.930000000002</v>
      </c>
      <c r="S153" s="339">
        <f>F153/Q153</f>
        <v>1.722797354022154</v>
      </c>
      <c r="T153" s="403"/>
      <c r="U153" s="403"/>
      <c r="V153" s="403"/>
      <c r="W153" s="403"/>
      <c r="X153" s="366">
        <f t="shared" si="59"/>
        <v>0.08633904059416686</v>
      </c>
    </row>
    <row r="154" spans="20:24" ht="15" hidden="1">
      <c r="T154" s="403"/>
      <c r="U154" s="403"/>
      <c r="V154" s="403"/>
      <c r="W154" s="403"/>
      <c r="X154" s="363"/>
    </row>
    <row r="155" spans="20:24" ht="15" hidden="1">
      <c r="T155" s="403"/>
      <c r="U155" s="403"/>
      <c r="V155" s="403"/>
      <c r="W155" s="403"/>
      <c r="X155" s="363"/>
    </row>
    <row r="156" spans="2:24" ht="15" hidden="1">
      <c r="B156" s="284" t="s">
        <v>284</v>
      </c>
      <c r="T156" s="403"/>
      <c r="U156" s="403"/>
      <c r="V156" s="403"/>
      <c r="W156" s="403"/>
      <c r="X156" s="363"/>
    </row>
    <row r="157" spans="1:24" s="6" customFormat="1" ht="15.75" customHeight="1" hidden="1">
      <c r="A157" s="8"/>
      <c r="B157" s="357" t="str">
        <f>B72</f>
        <v>Інші надходження</v>
      </c>
      <c r="C157" s="396" t="str">
        <f>C72</f>
        <v>24060300</v>
      </c>
      <c r="D157" s="427">
        <f aca="true" t="shared" si="64" ref="D157:S157">D72</f>
        <v>7350</v>
      </c>
      <c r="E157" s="427">
        <f t="shared" si="64"/>
        <v>7350</v>
      </c>
      <c r="F157" s="433">
        <f t="shared" si="64"/>
        <v>7875.14</v>
      </c>
      <c r="G157" s="427">
        <f t="shared" si="64"/>
        <v>525.1400000000003</v>
      </c>
      <c r="H157" s="409">
        <f t="shared" si="64"/>
        <v>1.071447619047619</v>
      </c>
      <c r="I157" s="427">
        <f t="shared" si="64"/>
        <v>525.1400000000003</v>
      </c>
      <c r="J157" s="409">
        <f t="shared" si="64"/>
        <v>1.071447619047619</v>
      </c>
      <c r="K157" s="395">
        <f t="shared" si="64"/>
        <v>0</v>
      </c>
      <c r="L157" s="395">
        <f t="shared" si="64"/>
        <v>0</v>
      </c>
      <c r="M157" s="395">
        <f t="shared" si="64"/>
        <v>0</v>
      </c>
      <c r="N157" s="427">
        <f t="shared" si="64"/>
        <v>6525.16</v>
      </c>
      <c r="O157" s="427">
        <f t="shared" si="64"/>
        <v>824.8400000000001</v>
      </c>
      <c r="P157" s="409">
        <f t="shared" si="64"/>
        <v>1.1264091608481632</v>
      </c>
      <c r="Q157" s="427">
        <f t="shared" si="64"/>
        <v>6525.16</v>
      </c>
      <c r="R157" s="427">
        <f t="shared" si="64"/>
        <v>1349.9800000000005</v>
      </c>
      <c r="S157" s="409">
        <f t="shared" si="64"/>
        <v>1.206888413464191</v>
      </c>
      <c r="T157" s="405"/>
      <c r="U157" s="405"/>
      <c r="V157" s="405"/>
      <c r="W157" s="405"/>
      <c r="X157" s="363">
        <f>S157-P157</f>
        <v>0.08047925261602784</v>
      </c>
    </row>
    <row r="158" spans="1:24" s="6" customFormat="1" ht="44.25" customHeight="1" hidden="1">
      <c r="A158" s="8"/>
      <c r="B158" s="357" t="str">
        <f>B76</f>
        <v>Кошти, що надійдуть від надання учасниками торгів забезпечення їх тендерної пропозиції, які не підлягають поверненню учасникам торгів</v>
      </c>
      <c r="C158" s="396">
        <f>C76</f>
        <v>24061900</v>
      </c>
      <c r="D158" s="427">
        <f aca="true" t="shared" si="65" ref="D158:S158">D76</f>
        <v>160</v>
      </c>
      <c r="E158" s="427">
        <f t="shared" si="65"/>
        <v>160</v>
      </c>
      <c r="F158" s="433">
        <f t="shared" si="65"/>
        <v>142.18</v>
      </c>
      <c r="G158" s="427">
        <f t="shared" si="65"/>
        <v>-17.819999999999993</v>
      </c>
      <c r="H158" s="409">
        <f t="shared" si="65"/>
        <v>0.888625</v>
      </c>
      <c r="I158" s="427">
        <f t="shared" si="65"/>
        <v>-17.819999999999993</v>
      </c>
      <c r="J158" s="409">
        <f t="shared" si="65"/>
        <v>0.888625</v>
      </c>
      <c r="K158" s="395">
        <f t="shared" si="65"/>
        <v>0</v>
      </c>
      <c r="L158" s="395">
        <f t="shared" si="65"/>
        <v>0</v>
      </c>
      <c r="M158" s="395">
        <f t="shared" si="65"/>
        <v>0</v>
      </c>
      <c r="N158" s="427">
        <f t="shared" si="65"/>
        <v>226.72</v>
      </c>
      <c r="O158" s="427">
        <f t="shared" si="65"/>
        <v>-66.72</v>
      </c>
      <c r="P158" s="409">
        <f t="shared" si="65"/>
        <v>0.7057163020465773</v>
      </c>
      <c r="Q158" s="427">
        <f t="shared" si="65"/>
        <v>226.72</v>
      </c>
      <c r="R158" s="427">
        <f t="shared" si="65"/>
        <v>-84.53999999999999</v>
      </c>
      <c r="S158" s="409">
        <f t="shared" si="65"/>
        <v>0.6271171489061398</v>
      </c>
      <c r="T158" s="405"/>
      <c r="U158" s="405"/>
      <c r="V158" s="405"/>
      <c r="W158" s="405"/>
      <c r="X158" s="363">
        <f>S158-P158</f>
        <v>-0.07859915314043753</v>
      </c>
    </row>
    <row r="159" spans="2:24" ht="15" hidden="1">
      <c r="B159" s="284" t="s">
        <v>284</v>
      </c>
      <c r="C159" s="435">
        <v>24060000</v>
      </c>
      <c r="D159" s="406">
        <f>D157+D158</f>
        <v>7510</v>
      </c>
      <c r="E159" s="406">
        <f>E157+E158</f>
        <v>7510</v>
      </c>
      <c r="F159" s="407">
        <f>F157+F158</f>
        <v>8017.320000000001</v>
      </c>
      <c r="G159" s="408">
        <f>F159-E159</f>
        <v>507.3200000000006</v>
      </c>
      <c r="H159" s="339">
        <f>F159/E159</f>
        <v>1.0675525965379495</v>
      </c>
      <c r="I159" s="406">
        <f>F159-D159</f>
        <v>507.3200000000006</v>
      </c>
      <c r="J159" s="339">
        <f>F159/D159</f>
        <v>1.0675525965379495</v>
      </c>
      <c r="K159" s="90"/>
      <c r="L159" s="90"/>
      <c r="M159" s="90"/>
      <c r="N159" s="406">
        <f>N157+N158</f>
        <v>6751.88</v>
      </c>
      <c r="O159" s="406">
        <f>D159-N159</f>
        <v>758.1199999999999</v>
      </c>
      <c r="P159" s="339">
        <f>D159/N159</f>
        <v>1.112282801234619</v>
      </c>
      <c r="Q159" s="406">
        <f>Q157+Q158</f>
        <v>6751.88</v>
      </c>
      <c r="R159" s="406">
        <f>F159-Q159</f>
        <v>1265.4400000000005</v>
      </c>
      <c r="S159" s="339">
        <f>F159/Q159</f>
        <v>1.1874203925425215</v>
      </c>
      <c r="T159" s="403"/>
      <c r="U159" s="403"/>
      <c r="V159" s="403"/>
      <c r="W159" s="403"/>
      <c r="X159" s="366">
        <f>S159-P159</f>
        <v>0.07513759130790243</v>
      </c>
    </row>
    <row r="160" spans="20:23" ht="15" hidden="1">
      <c r="T160" s="403"/>
      <c r="U160" s="403"/>
      <c r="V160" s="403"/>
      <c r="W160" s="403"/>
    </row>
    <row r="161" spans="20:23" ht="15" hidden="1">
      <c r="T161" s="403"/>
      <c r="U161" s="403"/>
      <c r="V161" s="403"/>
      <c r="W161" s="403"/>
    </row>
    <row r="162" spans="20:23" ht="15" hidden="1">
      <c r="T162" s="403"/>
      <c r="U162" s="403"/>
      <c r="V162" s="403"/>
      <c r="W162" s="403"/>
    </row>
    <row r="163" spans="20:23" ht="15" hidden="1">
      <c r="T163" s="403"/>
      <c r="U163" s="403"/>
      <c r="V163" s="403"/>
      <c r="W163" s="403"/>
    </row>
    <row r="164" spans="20:23" ht="15" hidden="1">
      <c r="T164" s="403"/>
      <c r="U164" s="403"/>
      <c r="V164" s="403"/>
      <c r="W164" s="403"/>
    </row>
    <row r="165" spans="20:23" ht="15" hidden="1">
      <c r="T165" s="403"/>
      <c r="U165" s="403"/>
      <c r="V165" s="403"/>
      <c r="W165" s="403"/>
    </row>
    <row r="166" spans="20:23" ht="15">
      <c r="T166" s="403"/>
      <c r="U166" s="403"/>
      <c r="V166" s="403"/>
      <c r="W166" s="403"/>
    </row>
    <row r="167" spans="20:23" ht="15">
      <c r="T167" s="403"/>
      <c r="U167" s="403"/>
      <c r="V167" s="403"/>
      <c r="W167" s="403"/>
    </row>
    <row r="168" spans="20:23" ht="15">
      <c r="T168" s="403"/>
      <c r="U168" s="403"/>
      <c r="V168" s="403"/>
      <c r="W168" s="403"/>
    </row>
  </sheetData>
  <sheetProtection/>
  <mergeCells count="34"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G104:J104"/>
    <mergeCell ref="U105:V105"/>
    <mergeCell ref="G106:H106"/>
    <mergeCell ref="U106:V106"/>
    <mergeCell ref="G107:H107"/>
    <mergeCell ref="U107:V107"/>
    <mergeCell ref="G108:H108"/>
    <mergeCell ref="B109:C109"/>
    <mergeCell ref="G109:H109"/>
    <mergeCell ref="G110:H110"/>
    <mergeCell ref="B111:C111"/>
    <mergeCell ref="G111:H111"/>
    <mergeCell ref="U113:V113"/>
  </mergeCells>
  <printOptions/>
  <pageMargins left="0.7086614173228347" right="0.11811023622047245" top="0.1968503937007874" bottom="0.1968503937007874" header="0" footer="0"/>
  <pageSetup fitToHeight="1" fitToWidth="1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91" sqref="K9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62" t="s">
        <v>185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  <c r="T1" s="246"/>
      <c r="U1" s="249"/>
      <c r="V1" s="259"/>
      <c r="W1" s="259"/>
    </row>
    <row r="2" spans="2:23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163</v>
      </c>
      <c r="O3" s="473" t="s">
        <v>164</v>
      </c>
      <c r="P3" s="473"/>
      <c r="Q3" s="473"/>
      <c r="R3" s="473"/>
      <c r="S3" s="473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64"/>
      <c r="B4" s="466"/>
      <c r="C4" s="467"/>
      <c r="D4" s="468"/>
      <c r="E4" s="474" t="s">
        <v>153</v>
      </c>
      <c r="F4" s="456" t="s">
        <v>33</v>
      </c>
      <c r="G4" s="445" t="s">
        <v>162</v>
      </c>
      <c r="H4" s="458" t="s">
        <v>176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186</v>
      </c>
      <c r="P4" s="445" t="s">
        <v>49</v>
      </c>
      <c r="Q4" s="447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169</v>
      </c>
      <c r="L5" s="449"/>
      <c r="M5" s="450"/>
      <c r="N5" s="459"/>
      <c r="O5" s="461"/>
      <c r="P5" s="446"/>
      <c r="Q5" s="447"/>
      <c r="R5" s="448" t="s">
        <v>102</v>
      </c>
      <c r="S5" s="450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443"/>
      <c r="P93" s="443"/>
    </row>
    <row r="94" spans="3:16" ht="15">
      <c r="C94" s="81">
        <v>42824</v>
      </c>
      <c r="D94" s="29">
        <v>11112.7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42823</v>
      </c>
      <c r="D95" s="29">
        <v>8830.3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1399.2856000000002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6" sqref="C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62" t="s">
        <v>151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144</v>
      </c>
      <c r="O3" s="473" t="s">
        <v>148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149</v>
      </c>
      <c r="F4" s="456" t="s">
        <v>33</v>
      </c>
      <c r="G4" s="445" t="s">
        <v>145</v>
      </c>
      <c r="H4" s="458" t="s">
        <v>146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152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147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443"/>
      <c r="P90" s="443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42790</v>
      </c>
      <c r="D92" s="29">
        <v>4206.9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v>7713.34596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77" sqref="D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62" t="s">
        <v>143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134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123</v>
      </c>
      <c r="O3" s="473" t="s">
        <v>118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135</v>
      </c>
      <c r="F4" s="456" t="s">
        <v>33</v>
      </c>
      <c r="G4" s="445" t="s">
        <v>136</v>
      </c>
      <c r="H4" s="458" t="s">
        <v>137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124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142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443"/>
      <c r="P90" s="443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42762</v>
      </c>
      <c r="D92" s="29">
        <v>8862.4</v>
      </c>
      <c r="F92" s="68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68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>
        <f>9505303.41/1000</f>
        <v>9505.30341</v>
      </c>
      <c r="E94" s="69"/>
      <c r="F94" s="125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.75" customHeight="1">
      <c r="F95" s="68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68"/>
      <c r="G96" s="439"/>
      <c r="H96" s="439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14" sqref="Y1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62" t="s">
        <v>132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7"/>
    </row>
    <row r="2" spans="2:19" s="1" customFormat="1" ht="15.75" customHeight="1">
      <c r="B2" s="463"/>
      <c r="C2" s="463"/>
      <c r="D2" s="463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64"/>
      <c r="B3" s="466"/>
      <c r="C3" s="467" t="s">
        <v>0</v>
      </c>
      <c r="D3" s="468" t="s">
        <v>126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129</v>
      </c>
      <c r="O3" s="473" t="s">
        <v>125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127</v>
      </c>
      <c r="F4" s="484" t="s">
        <v>33</v>
      </c>
      <c r="G4" s="445" t="s">
        <v>128</v>
      </c>
      <c r="H4" s="458" t="s">
        <v>122</v>
      </c>
      <c r="I4" s="445" t="s">
        <v>103</v>
      </c>
      <c r="J4" s="458" t="s">
        <v>104</v>
      </c>
      <c r="K4" s="85" t="s">
        <v>114</v>
      </c>
      <c r="L4" s="204" t="s">
        <v>113</v>
      </c>
      <c r="M4" s="90" t="s">
        <v>63</v>
      </c>
      <c r="N4" s="458"/>
      <c r="O4" s="460" t="s">
        <v>133</v>
      </c>
      <c r="P4" s="445" t="s">
        <v>49</v>
      </c>
      <c r="Q4" s="447" t="s">
        <v>48</v>
      </c>
      <c r="R4" s="91" t="s">
        <v>64</v>
      </c>
      <c r="S4" s="92" t="s">
        <v>63</v>
      </c>
    </row>
    <row r="5" spans="1:19" ht="67.5" customHeight="1">
      <c r="A5" s="465"/>
      <c r="B5" s="466"/>
      <c r="C5" s="467"/>
      <c r="D5" s="468"/>
      <c r="E5" s="475"/>
      <c r="F5" s="485"/>
      <c r="G5" s="446"/>
      <c r="H5" s="459"/>
      <c r="I5" s="446"/>
      <c r="J5" s="459"/>
      <c r="K5" s="448" t="s">
        <v>130</v>
      </c>
      <c r="L5" s="449"/>
      <c r="M5" s="450"/>
      <c r="N5" s="459"/>
      <c r="O5" s="461"/>
      <c r="P5" s="446"/>
      <c r="Q5" s="447"/>
      <c r="R5" s="448" t="s">
        <v>102</v>
      </c>
      <c r="S5" s="45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455"/>
      <c r="H89" s="455"/>
      <c r="I89" s="455"/>
      <c r="J89" s="455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443"/>
      <c r="P90" s="443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439"/>
      <c r="H91" s="439"/>
      <c r="I91" s="118"/>
      <c r="J91" s="482"/>
      <c r="K91" s="482"/>
      <c r="L91" s="482"/>
      <c r="M91" s="482"/>
      <c r="N91" s="482"/>
      <c r="O91" s="443"/>
      <c r="P91" s="443"/>
    </row>
    <row r="92" spans="3:16" ht="15.75" customHeight="1">
      <c r="C92" s="81">
        <v>42732</v>
      </c>
      <c r="D92" s="29">
        <v>19085.6</v>
      </c>
      <c r="F92" s="333"/>
      <c r="G92" s="439"/>
      <c r="H92" s="439"/>
      <c r="I92" s="118"/>
      <c r="J92" s="483"/>
      <c r="K92" s="483"/>
      <c r="L92" s="483"/>
      <c r="M92" s="483"/>
      <c r="N92" s="483"/>
      <c r="O92" s="443"/>
      <c r="P92" s="443"/>
    </row>
    <row r="93" spans="3:14" ht="15.75" customHeight="1">
      <c r="C93" s="81"/>
      <c r="F93" s="333"/>
      <c r="G93" s="444"/>
      <c r="H93" s="444"/>
      <c r="I93" s="124"/>
      <c r="J93" s="482"/>
      <c r="K93" s="482"/>
      <c r="L93" s="482"/>
      <c r="M93" s="482"/>
      <c r="N93" s="482"/>
    </row>
    <row r="94" spans="2:14" ht="18.75" customHeight="1">
      <c r="B94" s="437" t="s">
        <v>56</v>
      </c>
      <c r="C94" s="438"/>
      <c r="D94" s="133" t="e">
        <f>'[1]ЧТКЕ'!$G$6/1000</f>
        <v>#VALUE!</v>
      </c>
      <c r="E94" s="69"/>
      <c r="F94" s="334" t="s">
        <v>107</v>
      </c>
      <c r="G94" s="439"/>
      <c r="H94" s="439"/>
      <c r="I94" s="126"/>
      <c r="J94" s="482"/>
      <c r="K94" s="482"/>
      <c r="L94" s="482"/>
      <c r="M94" s="482"/>
      <c r="N94" s="482"/>
    </row>
    <row r="95" spans="6:13" ht="9" customHeight="1">
      <c r="F95" s="333"/>
      <c r="G95" s="439"/>
      <c r="H95" s="439"/>
      <c r="I95" s="68"/>
      <c r="J95" s="69"/>
      <c r="K95" s="69"/>
      <c r="L95" s="69"/>
      <c r="M95" s="69"/>
    </row>
    <row r="96" spans="2:13" ht="22.5" customHeight="1" hidden="1">
      <c r="B96" s="440" t="s">
        <v>59</v>
      </c>
      <c r="C96" s="441"/>
      <c r="D96" s="80">
        <v>0</v>
      </c>
      <c r="E96" s="51" t="s">
        <v>24</v>
      </c>
      <c r="F96" s="333"/>
      <c r="G96" s="439"/>
      <c r="H96" s="439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476"/>
      <c r="P98" s="476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zoomScale="81" zoomScaleNormal="81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2" sqref="D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7" width="13.625" style="4" hidden="1" customWidth="1"/>
    <col min="18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62" t="s">
        <v>279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312"/>
    </row>
    <row r="2" spans="2:24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265</v>
      </c>
      <c r="U3" s="473" t="s">
        <v>118</v>
      </c>
      <c r="V3" s="473"/>
      <c r="W3" s="473"/>
      <c r="X3" s="359"/>
    </row>
    <row r="4" spans="1:23" ht="22.5" customHeight="1">
      <c r="A4" s="464"/>
      <c r="B4" s="466"/>
      <c r="C4" s="467"/>
      <c r="D4" s="468"/>
      <c r="E4" s="474" t="s">
        <v>262</v>
      </c>
      <c r="F4" s="456" t="s">
        <v>33</v>
      </c>
      <c r="G4" s="445" t="s">
        <v>263</v>
      </c>
      <c r="H4" s="458" t="s">
        <v>264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280</v>
      </c>
      <c r="V4" s="445" t="s">
        <v>49</v>
      </c>
      <c r="W4" s="447" t="s">
        <v>48</v>
      </c>
    </row>
    <row r="5" spans="1:23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266</v>
      </c>
      <c r="R5" s="454"/>
      <c r="S5" s="454"/>
      <c r="T5" s="459"/>
      <c r="U5" s="461"/>
      <c r="V5" s="446"/>
      <c r="W5" s="447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1294181.1</v>
      </c>
      <c r="E8" s="151">
        <f>E9+E15+E18+E19+E23+E17</f>
        <v>1182565.6</v>
      </c>
      <c r="F8" s="151">
        <f>F9+F15+F18+F19+F23+F17</f>
        <v>1206192.4899999998</v>
      </c>
      <c r="G8" s="151">
        <f>F8-E8</f>
        <v>23626.889999999665</v>
      </c>
      <c r="H8" s="377">
        <f aca="true" t="shared" si="0" ref="H8:H15">F8/E8</f>
        <v>1.019979348291545</v>
      </c>
      <c r="I8" s="153">
        <f aca="true" t="shared" si="1" ref="I8:I52">F8-D8</f>
        <v>-87988.61000000034</v>
      </c>
      <c r="J8" s="219">
        <f aca="true" t="shared" si="2" ref="J8:J14">F8/D8</f>
        <v>0.9320121349322746</v>
      </c>
      <c r="K8" s="153"/>
      <c r="L8" s="153"/>
      <c r="M8" s="153"/>
      <c r="N8" s="153">
        <v>984796</v>
      </c>
      <c r="O8" s="153">
        <f aca="true" t="shared" si="3" ref="O8:O20">D8-N8</f>
        <v>309385.1000000001</v>
      </c>
      <c r="P8" s="219">
        <f aca="true" t="shared" si="4" ref="P8:P20">D8/N8</f>
        <v>1.3141616131665848</v>
      </c>
      <c r="Q8" s="151">
        <v>890598.48</v>
      </c>
      <c r="R8" s="151">
        <f aca="true" t="shared" si="5" ref="R8:R78">F8-Q8</f>
        <v>315594.0099999998</v>
      </c>
      <c r="S8" s="205">
        <f aca="true" t="shared" si="6" ref="S8:S20">F8/Q8</f>
        <v>1.354361720895818</v>
      </c>
      <c r="T8" s="151">
        <f>T9+T15+T18+T19+T23+T17</f>
        <v>118021</v>
      </c>
      <c r="U8" s="151">
        <f>U9+U15+U18+U19+U23+U17</f>
        <v>130368.34999999996</v>
      </c>
      <c r="V8" s="151">
        <f>U8-T8</f>
        <v>12347.349999999962</v>
      </c>
      <c r="W8" s="205">
        <f aca="true" t="shared" si="7" ref="W8:W15">U8/T8</f>
        <v>1.1046199405190598</v>
      </c>
      <c r="X8" s="365">
        <f aca="true" t="shared" si="8" ref="X8:X22">S8-P8</f>
        <v>0.040200107729233325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685666</v>
      </c>
      <c r="F9" s="156">
        <v>689441.19</v>
      </c>
      <c r="G9" s="150">
        <f>F9-E9</f>
        <v>3775.189999999944</v>
      </c>
      <c r="H9" s="375">
        <f t="shared" si="0"/>
        <v>1.0055058731218989</v>
      </c>
      <c r="I9" s="158">
        <f t="shared" si="1"/>
        <v>-77203.81000000006</v>
      </c>
      <c r="J9" s="210">
        <f t="shared" si="2"/>
        <v>0.8992965322933039</v>
      </c>
      <c r="K9" s="158"/>
      <c r="L9" s="158"/>
      <c r="M9" s="158"/>
      <c r="N9" s="158">
        <v>541908.6</v>
      </c>
      <c r="O9" s="158">
        <f t="shared" si="3"/>
        <v>224736.40000000002</v>
      </c>
      <c r="P9" s="210">
        <f t="shared" si="4"/>
        <v>1.414712739380774</v>
      </c>
      <c r="Q9" s="227">
        <v>480042.75</v>
      </c>
      <c r="R9" s="159">
        <f t="shared" si="5"/>
        <v>209398.43999999994</v>
      </c>
      <c r="S9" s="206">
        <f t="shared" si="6"/>
        <v>1.4362079002338852</v>
      </c>
      <c r="T9" s="157">
        <f>E9-жовтень!E9</f>
        <v>72026</v>
      </c>
      <c r="U9" s="160">
        <f>F9-жовтень!F9</f>
        <v>71230.19999999995</v>
      </c>
      <c r="V9" s="161">
        <f>U9-T9</f>
        <v>-795.8000000000466</v>
      </c>
      <c r="W9" s="210">
        <f t="shared" si="7"/>
        <v>0.9889512120623102</v>
      </c>
      <c r="X9" s="366">
        <f t="shared" si="8"/>
        <v>0.021495160853111317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705817</v>
      </c>
      <c r="E10" s="103">
        <v>626314</v>
      </c>
      <c r="F10" s="140">
        <v>631637.36</v>
      </c>
      <c r="G10" s="103">
        <f aca="true" t="shared" si="9" ref="G10:G47">F10-E10</f>
        <v>5323.359999999986</v>
      </c>
      <c r="H10" s="376">
        <f t="shared" si="0"/>
        <v>1.0084995066372457</v>
      </c>
      <c r="I10" s="104">
        <f t="shared" si="1"/>
        <v>-74179.64000000001</v>
      </c>
      <c r="J10" s="109">
        <f t="shared" si="2"/>
        <v>0.8949024463848277</v>
      </c>
      <c r="K10" s="104"/>
      <c r="L10" s="104"/>
      <c r="M10" s="104"/>
      <c r="N10" s="104">
        <v>476189.93</v>
      </c>
      <c r="O10" s="104">
        <f t="shared" si="3"/>
        <v>229627.07</v>
      </c>
      <c r="P10" s="109">
        <f t="shared" si="4"/>
        <v>1.482217400103358</v>
      </c>
      <c r="Q10" s="106">
        <v>422134.8</v>
      </c>
      <c r="R10" s="106">
        <f t="shared" si="5"/>
        <v>209502.56</v>
      </c>
      <c r="S10" s="207">
        <f t="shared" si="6"/>
        <v>1.4962930324626162</v>
      </c>
      <c r="T10" s="105">
        <f>E10-жовтень!E10</f>
        <v>66764</v>
      </c>
      <c r="U10" s="144">
        <f>F10-жовтень!F10</f>
        <v>65106.23999999999</v>
      </c>
      <c r="V10" s="106">
        <f aca="true" t="shared" si="10" ref="V10:V52">U10-T10</f>
        <v>-1657.7600000000093</v>
      </c>
      <c r="W10" s="109">
        <f t="shared" si="7"/>
        <v>0.9751698520160564</v>
      </c>
      <c r="X10" s="364">
        <f t="shared" si="8"/>
        <v>0.01407563235925835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42006</v>
      </c>
      <c r="E11" s="103">
        <v>42006</v>
      </c>
      <c r="F11" s="140">
        <v>37482.74</v>
      </c>
      <c r="G11" s="103">
        <f t="shared" si="9"/>
        <v>-4523.260000000002</v>
      </c>
      <c r="H11" s="376">
        <f t="shared" si="0"/>
        <v>0.8923187163738513</v>
      </c>
      <c r="I11" s="104">
        <f t="shared" si="1"/>
        <v>-4523.260000000002</v>
      </c>
      <c r="J11" s="109">
        <f t="shared" si="2"/>
        <v>0.8923187163738513</v>
      </c>
      <c r="K11" s="104"/>
      <c r="L11" s="104"/>
      <c r="M11" s="104"/>
      <c r="N11" s="104">
        <v>42401.33</v>
      </c>
      <c r="O11" s="104">
        <f t="shared" si="3"/>
        <v>-395.33000000000175</v>
      </c>
      <c r="P11" s="109">
        <f t="shared" si="4"/>
        <v>0.9906764717050148</v>
      </c>
      <c r="Q11" s="106">
        <v>36721.72</v>
      </c>
      <c r="R11" s="106">
        <f t="shared" si="5"/>
        <v>761.0199999999968</v>
      </c>
      <c r="S11" s="207">
        <f t="shared" si="6"/>
        <v>1.020723974802923</v>
      </c>
      <c r="T11" s="105">
        <f>E11-жовтень!E11</f>
        <v>3906</v>
      </c>
      <c r="U11" s="144">
        <f>F11-жовтень!F11</f>
        <v>4069.9300000000003</v>
      </c>
      <c r="V11" s="106">
        <f t="shared" si="10"/>
        <v>163.9300000000003</v>
      </c>
      <c r="W11" s="109">
        <f t="shared" si="7"/>
        <v>1.0419687660010242</v>
      </c>
      <c r="X11" s="364">
        <f t="shared" si="8"/>
        <v>0.030047503097908268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9471.03</v>
      </c>
      <c r="G12" s="103">
        <f t="shared" si="9"/>
        <v>1971.0300000000007</v>
      </c>
      <c r="H12" s="376">
        <f t="shared" si="0"/>
        <v>1.262804</v>
      </c>
      <c r="I12" s="104">
        <f t="shared" si="1"/>
        <v>1191.0300000000007</v>
      </c>
      <c r="J12" s="109">
        <f t="shared" si="2"/>
        <v>1.1438442028985507</v>
      </c>
      <c r="K12" s="104"/>
      <c r="L12" s="104"/>
      <c r="M12" s="104"/>
      <c r="N12" s="104">
        <v>10663.92</v>
      </c>
      <c r="O12" s="104">
        <f t="shared" si="3"/>
        <v>-2383.92</v>
      </c>
      <c r="P12" s="109">
        <f t="shared" si="4"/>
        <v>0.7764499358584835</v>
      </c>
      <c r="Q12" s="106">
        <v>9317.93</v>
      </c>
      <c r="R12" s="106">
        <f t="shared" si="5"/>
        <v>153.10000000000036</v>
      </c>
      <c r="S12" s="207">
        <f t="shared" si="6"/>
        <v>1.0164306879317617</v>
      </c>
      <c r="T12" s="105">
        <f>E12-жовтень!E12</f>
        <v>720</v>
      </c>
      <c r="U12" s="144">
        <f>F12-жовтень!F12</f>
        <v>1188.0400000000009</v>
      </c>
      <c r="V12" s="106">
        <f t="shared" si="10"/>
        <v>468.0400000000009</v>
      </c>
      <c r="W12" s="109">
        <f t="shared" si="7"/>
        <v>1.6500555555555567</v>
      </c>
      <c r="X12" s="364">
        <f t="shared" si="8"/>
        <v>0.23998075207327818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9597.59</v>
      </c>
      <c r="G13" s="103">
        <f t="shared" si="9"/>
        <v>807.5900000000001</v>
      </c>
      <c r="H13" s="376">
        <f t="shared" si="0"/>
        <v>1.0918759954493744</v>
      </c>
      <c r="I13" s="104">
        <f t="shared" si="1"/>
        <v>207.59000000000015</v>
      </c>
      <c r="J13" s="109">
        <f t="shared" si="2"/>
        <v>1.0221075612353567</v>
      </c>
      <c r="K13" s="104"/>
      <c r="L13" s="104"/>
      <c r="M13" s="104"/>
      <c r="N13" s="104">
        <v>9532.64</v>
      </c>
      <c r="O13" s="104">
        <f t="shared" si="3"/>
        <v>-142.63999999999942</v>
      </c>
      <c r="P13" s="109">
        <f t="shared" si="4"/>
        <v>0.9850366739958711</v>
      </c>
      <c r="Q13" s="106">
        <v>8900.13</v>
      </c>
      <c r="R13" s="106">
        <f t="shared" si="5"/>
        <v>697.460000000001</v>
      </c>
      <c r="S13" s="207">
        <f t="shared" si="6"/>
        <v>1.0783651474753742</v>
      </c>
      <c r="T13" s="105">
        <f>E13-жовтень!E13</f>
        <v>540</v>
      </c>
      <c r="U13" s="144">
        <f>F13-жовтень!F13</f>
        <v>757.7199999999993</v>
      </c>
      <c r="V13" s="106">
        <f t="shared" si="10"/>
        <v>217.71999999999935</v>
      </c>
      <c r="W13" s="109">
        <f t="shared" si="7"/>
        <v>1.403185185185184</v>
      </c>
      <c r="X13" s="364">
        <f t="shared" si="8"/>
        <v>0.09332847347950302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1252.47</v>
      </c>
      <c r="G14" s="103">
        <f t="shared" si="9"/>
        <v>196.47000000000003</v>
      </c>
      <c r="H14" s="376">
        <f t="shared" si="0"/>
        <v>1.1860511363636363</v>
      </c>
      <c r="I14" s="104">
        <f t="shared" si="1"/>
        <v>100.47000000000003</v>
      </c>
      <c r="J14" s="109">
        <f t="shared" si="2"/>
        <v>1.0872135416666666</v>
      </c>
      <c r="K14" s="104"/>
      <c r="L14" s="104"/>
      <c r="M14" s="104"/>
      <c r="N14" s="104">
        <v>3120.73</v>
      </c>
      <c r="O14" s="104">
        <f t="shared" si="3"/>
        <v>-1968.73</v>
      </c>
      <c r="P14" s="109">
        <f t="shared" si="4"/>
        <v>0.36914439890666606</v>
      </c>
      <c r="Q14" s="106">
        <v>2968.16</v>
      </c>
      <c r="R14" s="106">
        <f t="shared" si="5"/>
        <v>-1715.6899999999998</v>
      </c>
      <c r="S14" s="207">
        <f t="shared" si="6"/>
        <v>0.42196849226456795</v>
      </c>
      <c r="T14" s="105">
        <f>E14-жовтень!E14</f>
        <v>96</v>
      </c>
      <c r="U14" s="144">
        <f>F14-жовтень!F14</f>
        <v>108.26999999999998</v>
      </c>
      <c r="V14" s="106">
        <f t="shared" si="10"/>
        <v>12.269999999999982</v>
      </c>
      <c r="W14" s="109">
        <f t="shared" si="7"/>
        <v>1.1278124999999999</v>
      </c>
      <c r="X14" s="364">
        <f t="shared" si="8"/>
        <v>0.05282409335790189</v>
      </c>
    </row>
    <row r="15" spans="1:24" s="6" customFormat="1" ht="30.75">
      <c r="A15" s="8"/>
      <c r="B15" s="131" t="s">
        <v>11</v>
      </c>
      <c r="C15" s="43">
        <v>11020200</v>
      </c>
      <c r="D15" s="150">
        <v>451</v>
      </c>
      <c r="E15" s="150">
        <v>451</v>
      </c>
      <c r="F15" s="156">
        <v>887.61</v>
      </c>
      <c r="G15" s="150">
        <f t="shared" si="9"/>
        <v>436.61</v>
      </c>
      <c r="H15" s="375">
        <f t="shared" si="0"/>
        <v>1.9680931263858092</v>
      </c>
      <c r="I15" s="158">
        <f t="shared" si="1"/>
        <v>436.61</v>
      </c>
      <c r="J15" s="158">
        <f>F15/D15*100</f>
        <v>196.80931263858093</v>
      </c>
      <c r="K15" s="158"/>
      <c r="L15" s="158"/>
      <c r="M15" s="158"/>
      <c r="N15" s="158">
        <v>459.29</v>
      </c>
      <c r="O15" s="158">
        <f t="shared" si="3"/>
        <v>-8.29000000000002</v>
      </c>
      <c r="P15" s="210">
        <f t="shared" si="4"/>
        <v>0.9819504017069824</v>
      </c>
      <c r="Q15" s="161">
        <v>408.11</v>
      </c>
      <c r="R15" s="161">
        <f t="shared" si="5"/>
        <v>479.5</v>
      </c>
      <c r="S15" s="208">
        <f t="shared" si="6"/>
        <v>2.174928328146823</v>
      </c>
      <c r="T15" s="157">
        <f>E15-жовтень!E15</f>
        <v>0</v>
      </c>
      <c r="U15" s="160">
        <f>F15-жовтень!F15</f>
        <v>507.32</v>
      </c>
      <c r="V15" s="161">
        <f t="shared" si="10"/>
        <v>507.32</v>
      </c>
      <c r="W15" s="210" t="e">
        <f t="shared" si="7"/>
        <v>#DIV/0!</v>
      </c>
      <c r="X15" s="363">
        <f t="shared" si="8"/>
        <v>1.1929779264398406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9"/>
        <v>0</v>
      </c>
      <c r="H16" s="375" t="e">
        <f>F16/E16/100</f>
        <v>#DIV/0!</v>
      </c>
      <c r="I16" s="158">
        <f t="shared" si="1"/>
        <v>0</v>
      </c>
      <c r="J16" s="158" t="e">
        <f>F16/D16*100</f>
        <v>#DIV/0!</v>
      </c>
      <c r="K16" s="158"/>
      <c r="L16" s="158"/>
      <c r="M16" s="158"/>
      <c r="N16" s="158"/>
      <c r="O16" s="158">
        <f t="shared" si="3"/>
        <v>0</v>
      </c>
      <c r="P16" s="210" t="e">
        <f t="shared" si="4"/>
        <v>#DIV/0!</v>
      </c>
      <c r="Q16" s="106">
        <v>0</v>
      </c>
      <c r="R16" s="161">
        <f t="shared" si="5"/>
        <v>0</v>
      </c>
      <c r="S16" s="208" t="e">
        <f t="shared" si="6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210" t="e">
        <f>U16/T16*100</f>
        <v>#DIV/0!</v>
      </c>
      <c r="X16" s="363" t="e">
        <f t="shared" si="8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9"/>
        <v>0.49</v>
      </c>
      <c r="H17" s="375"/>
      <c r="I17" s="158">
        <f t="shared" si="1"/>
        <v>0.49</v>
      </c>
      <c r="J17" s="158"/>
      <c r="K17" s="158"/>
      <c r="L17" s="158"/>
      <c r="M17" s="158"/>
      <c r="N17" s="158">
        <v>0.17</v>
      </c>
      <c r="O17" s="158">
        <f t="shared" si="3"/>
        <v>-0.17</v>
      </c>
      <c r="P17" s="210">
        <f t="shared" si="4"/>
        <v>0</v>
      </c>
      <c r="Q17" s="167">
        <v>0.17</v>
      </c>
      <c r="R17" s="161">
        <f t="shared" si="5"/>
        <v>0.31999999999999995</v>
      </c>
      <c r="S17" s="208">
        <f t="shared" si="6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210"/>
      <c r="X17" s="363">
        <f t="shared" si="8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9"/>
        <v>95.59</v>
      </c>
      <c r="H18" s="375">
        <f aca="true" t="shared" si="11" ref="H18:H41">F18/E18</f>
        <v>1.76472</v>
      </c>
      <c r="I18" s="158">
        <f t="shared" si="1"/>
        <v>95.59</v>
      </c>
      <c r="J18" s="158">
        <f aca="true" t="shared" si="12" ref="J18:J23">F18/D18*100</f>
        <v>176.472</v>
      </c>
      <c r="K18" s="158"/>
      <c r="L18" s="158"/>
      <c r="M18" s="158"/>
      <c r="N18" s="158">
        <v>124.7</v>
      </c>
      <c r="O18" s="158">
        <f t="shared" si="3"/>
        <v>0.29999999999999716</v>
      </c>
      <c r="P18" s="210">
        <f t="shared" si="4"/>
        <v>1.0024057738572574</v>
      </c>
      <c r="Q18" s="161">
        <v>124.7</v>
      </c>
      <c r="R18" s="161">
        <f t="shared" si="5"/>
        <v>95.89</v>
      </c>
      <c r="S18" s="208">
        <f t="shared" si="6"/>
        <v>1.7689655172413794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210">
        <f aca="true" t="shared" si="13" ref="W18:W25">U18/T18</f>
        <v>2.0894285714285714</v>
      </c>
      <c r="X18" s="363">
        <f t="shared" si="8"/>
        <v>0.766559743384122</v>
      </c>
    </row>
    <row r="19" spans="1:24" s="6" customFormat="1" ht="18">
      <c r="A19" s="8"/>
      <c r="B19" s="130" t="s">
        <v>172</v>
      </c>
      <c r="C19" s="43"/>
      <c r="D19" s="150">
        <f>D20+D21+D22</f>
        <v>125700</v>
      </c>
      <c r="E19" s="150">
        <f>E20+E21+E22</f>
        <v>116900</v>
      </c>
      <c r="F19" s="223">
        <v>111471.94</v>
      </c>
      <c r="G19" s="150">
        <f t="shared" si="9"/>
        <v>-5428.059999999998</v>
      </c>
      <c r="H19" s="375">
        <f t="shared" si="11"/>
        <v>0.9535666381522669</v>
      </c>
      <c r="I19" s="158">
        <f t="shared" si="1"/>
        <v>-14228.059999999998</v>
      </c>
      <c r="J19" s="158">
        <f t="shared" si="12"/>
        <v>88.68093874303898</v>
      </c>
      <c r="K19" s="158"/>
      <c r="L19" s="158"/>
      <c r="M19" s="158"/>
      <c r="N19" s="158">
        <v>101799.72</v>
      </c>
      <c r="O19" s="158">
        <f t="shared" si="3"/>
        <v>23900.28</v>
      </c>
      <c r="P19" s="210">
        <f t="shared" si="4"/>
        <v>1.234777463042138</v>
      </c>
      <c r="Q19" s="161">
        <v>92791.79</v>
      </c>
      <c r="R19" s="161">
        <f t="shared" si="5"/>
        <v>18680.15000000001</v>
      </c>
      <c r="S19" s="208">
        <f t="shared" si="6"/>
        <v>1.2013125299123986</v>
      </c>
      <c r="T19" s="157">
        <f>E19-жовтень!E19</f>
        <v>10100</v>
      </c>
      <c r="U19" s="160">
        <f>F19-жовтень!F19</f>
        <v>11263.330000000002</v>
      </c>
      <c r="V19" s="161">
        <f t="shared" si="10"/>
        <v>1163.3300000000017</v>
      </c>
      <c r="W19" s="210">
        <f t="shared" si="13"/>
        <v>1.115181188118812</v>
      </c>
      <c r="X19" s="363">
        <f t="shared" si="8"/>
        <v>-0.033464933129739416</v>
      </c>
    </row>
    <row r="20" spans="1:24" s="6" customFormat="1" ht="61.5">
      <c r="A20" s="8"/>
      <c r="B20" s="252" t="s">
        <v>205</v>
      </c>
      <c r="C20" s="123">
        <v>14040000</v>
      </c>
      <c r="D20" s="253">
        <v>63400</v>
      </c>
      <c r="E20" s="253">
        <v>63400</v>
      </c>
      <c r="F20" s="201">
        <v>56447.02</v>
      </c>
      <c r="G20" s="253">
        <f t="shared" si="9"/>
        <v>-6952.980000000003</v>
      </c>
      <c r="H20" s="378">
        <f t="shared" si="11"/>
        <v>0.8903315457413249</v>
      </c>
      <c r="I20" s="254">
        <f t="shared" si="1"/>
        <v>-6952.980000000003</v>
      </c>
      <c r="J20" s="254">
        <f t="shared" si="12"/>
        <v>89.0331545741325</v>
      </c>
      <c r="K20" s="254"/>
      <c r="L20" s="254"/>
      <c r="M20" s="254"/>
      <c r="N20" s="254">
        <v>101799.72</v>
      </c>
      <c r="O20" s="254">
        <f t="shared" si="3"/>
        <v>-38399.72</v>
      </c>
      <c r="P20" s="305">
        <f t="shared" si="4"/>
        <v>0.6227914968724865</v>
      </c>
      <c r="Q20" s="166">
        <v>92791.79</v>
      </c>
      <c r="R20" s="166">
        <f t="shared" si="5"/>
        <v>-36344.77</v>
      </c>
      <c r="S20" s="256">
        <f t="shared" si="6"/>
        <v>0.6083191196117674</v>
      </c>
      <c r="T20" s="195">
        <f>E20-жовтень!E20</f>
        <v>100</v>
      </c>
      <c r="U20" s="179">
        <f>F20-жовтень!F20</f>
        <v>4522.519999999997</v>
      </c>
      <c r="V20" s="166">
        <f t="shared" si="10"/>
        <v>4422.519999999997</v>
      </c>
      <c r="W20" s="305">
        <f t="shared" si="13"/>
        <v>45.225199999999965</v>
      </c>
      <c r="X20" s="363">
        <f t="shared" si="8"/>
        <v>-0.014472377260719038</v>
      </c>
    </row>
    <row r="21" spans="1:24" s="6" customFormat="1" ht="18">
      <c r="A21" s="8"/>
      <c r="B21" s="252" t="s">
        <v>170</v>
      </c>
      <c r="C21" s="123">
        <v>14021900</v>
      </c>
      <c r="D21" s="253">
        <v>12200</v>
      </c>
      <c r="E21" s="253">
        <v>11200</v>
      </c>
      <c r="F21" s="201">
        <v>11182.4</v>
      </c>
      <c r="G21" s="253">
        <f t="shared" si="9"/>
        <v>-17.600000000000364</v>
      </c>
      <c r="H21" s="378">
        <f t="shared" si="11"/>
        <v>0.9984285714285714</v>
      </c>
      <c r="I21" s="254">
        <f t="shared" si="1"/>
        <v>-1017.6000000000004</v>
      </c>
      <c r="J21" s="254">
        <f t="shared" si="12"/>
        <v>91.65901639344261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5"/>
        <v>11182.4</v>
      </c>
      <c r="S21" s="256"/>
      <c r="T21" s="195">
        <f>E21-жовтень!E21</f>
        <v>2500</v>
      </c>
      <c r="U21" s="179">
        <f>F21-жовтень!F21</f>
        <v>1170.2399999999998</v>
      </c>
      <c r="V21" s="166">
        <f t="shared" si="10"/>
        <v>-1329.7600000000002</v>
      </c>
      <c r="W21" s="305">
        <f t="shared" si="13"/>
        <v>0.4680959999999999</v>
      </c>
      <c r="X21" s="363">
        <f t="shared" si="8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50100</v>
      </c>
      <c r="E22" s="253">
        <v>42300</v>
      </c>
      <c r="F22" s="201">
        <v>43842.52</v>
      </c>
      <c r="G22" s="253">
        <f t="shared" si="9"/>
        <v>1542.5199999999968</v>
      </c>
      <c r="H22" s="378">
        <f t="shared" si="11"/>
        <v>1.0364661938534279</v>
      </c>
      <c r="I22" s="254">
        <f t="shared" si="1"/>
        <v>-6257.480000000003</v>
      </c>
      <c r="J22" s="254">
        <f t="shared" si="12"/>
        <v>87.51001996007983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5"/>
        <v>43842.52</v>
      </c>
      <c r="S22" s="256"/>
      <c r="T22" s="195">
        <f>E22-жовтень!E22</f>
        <v>7500</v>
      </c>
      <c r="U22" s="179">
        <f>F22-жовтень!F22</f>
        <v>5570.57</v>
      </c>
      <c r="V22" s="166">
        <f t="shared" si="10"/>
        <v>-1929.4300000000003</v>
      </c>
      <c r="W22" s="305">
        <f t="shared" si="13"/>
        <v>0.7427426666666667</v>
      </c>
      <c r="X22" s="363">
        <f t="shared" si="8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D24+D43+D47+D42</f>
        <v>401260.1</v>
      </c>
      <c r="E23" s="150">
        <f>E24+E43+E47+E42</f>
        <v>379423.6</v>
      </c>
      <c r="F23" s="223">
        <v>404170.67</v>
      </c>
      <c r="G23" s="150">
        <f t="shared" si="9"/>
        <v>24747.070000000007</v>
      </c>
      <c r="H23" s="375">
        <f t="shared" si="11"/>
        <v>1.0652228011120026</v>
      </c>
      <c r="I23" s="158">
        <f t="shared" si="1"/>
        <v>2910.570000000007</v>
      </c>
      <c r="J23" s="158">
        <f t="shared" si="12"/>
        <v>100.72535744271609</v>
      </c>
      <c r="K23" s="158"/>
      <c r="L23" s="158"/>
      <c r="M23" s="158"/>
      <c r="N23" s="158">
        <v>340503.51</v>
      </c>
      <c r="O23" s="158">
        <f aca="true" t="shared" si="14" ref="O23:O51">D23-N23</f>
        <v>60756.58999999997</v>
      </c>
      <c r="P23" s="210">
        <f aca="true" t="shared" si="15" ref="P23:P51">D23/N23</f>
        <v>1.1784316114685571</v>
      </c>
      <c r="Q23" s="158">
        <v>317230.96</v>
      </c>
      <c r="R23" s="161">
        <f t="shared" si="5"/>
        <v>86939.70999999996</v>
      </c>
      <c r="S23" s="209">
        <f aca="true" t="shared" si="16" ref="S23:S41">F23/Q23</f>
        <v>1.2740580868903841</v>
      </c>
      <c r="T23" s="157">
        <f>E23-жовтень!E23</f>
        <v>35860</v>
      </c>
      <c r="U23" s="160">
        <f>F23-жовтень!F23</f>
        <v>47294.369999999995</v>
      </c>
      <c r="V23" s="161">
        <f t="shared" si="10"/>
        <v>11434.369999999995</v>
      </c>
      <c r="W23" s="210">
        <f t="shared" si="13"/>
        <v>1.3188614054656997</v>
      </c>
      <c r="X23" s="363">
        <f>S23-P23</f>
        <v>0.095626475421827</v>
      </c>
    </row>
    <row r="24" spans="1:24" s="6" customFormat="1" ht="18">
      <c r="A24" s="8"/>
      <c r="B24" s="44" t="s">
        <v>81</v>
      </c>
      <c r="C24" s="114">
        <v>18010000</v>
      </c>
      <c r="D24" s="150">
        <f>D25+D32+D35</f>
        <v>206751</v>
      </c>
      <c r="E24" s="150">
        <f>E25+E32+E35</f>
        <v>191561.1</v>
      </c>
      <c r="F24" s="223">
        <f>F25+F32+F35</f>
        <v>191255.81</v>
      </c>
      <c r="G24" s="150">
        <f t="shared" si="9"/>
        <v>-305.29000000000815</v>
      </c>
      <c r="H24" s="375">
        <f t="shared" si="11"/>
        <v>0.998406304829112</v>
      </c>
      <c r="I24" s="158">
        <f t="shared" si="1"/>
        <v>-15495.190000000002</v>
      </c>
      <c r="J24" s="210">
        <f aca="true" t="shared" si="17" ref="J24:J41">F24/D24</f>
        <v>0.9250538570551049</v>
      </c>
      <c r="K24" s="158"/>
      <c r="L24" s="158"/>
      <c r="M24" s="158"/>
      <c r="N24" s="158">
        <v>182295.05</v>
      </c>
      <c r="O24" s="158">
        <f t="shared" si="14"/>
        <v>24455.95000000001</v>
      </c>
      <c r="P24" s="210">
        <f t="shared" si="15"/>
        <v>1.134155864352872</v>
      </c>
      <c r="Q24" s="158">
        <v>167260.1</v>
      </c>
      <c r="R24" s="161">
        <f t="shared" si="5"/>
        <v>23995.709999999992</v>
      </c>
      <c r="S24" s="209">
        <f t="shared" si="16"/>
        <v>1.143463444061076</v>
      </c>
      <c r="T24" s="157">
        <f>E24-жовтень!E24</f>
        <v>17145</v>
      </c>
      <c r="U24" s="160">
        <f>F24-жовтень!F24</f>
        <v>15329.120000000024</v>
      </c>
      <c r="V24" s="161">
        <f t="shared" si="10"/>
        <v>-1815.8799999999756</v>
      </c>
      <c r="W24" s="210">
        <f t="shared" si="13"/>
        <v>0.8940869058034426</v>
      </c>
      <c r="X24" s="363">
        <f aca="true" t="shared" si="18" ref="X24:X99">S24-P24</f>
        <v>0.009307579708204061</v>
      </c>
    </row>
    <row r="25" spans="1:25" s="6" customFormat="1" ht="18">
      <c r="A25" s="8"/>
      <c r="B25" s="50" t="s">
        <v>74</v>
      </c>
      <c r="C25" s="123"/>
      <c r="D25" s="253">
        <v>22809</v>
      </c>
      <c r="E25" s="368">
        <v>22264.1</v>
      </c>
      <c r="F25" s="201">
        <v>24510.23</v>
      </c>
      <c r="G25" s="253">
        <f t="shared" si="9"/>
        <v>2246.130000000001</v>
      </c>
      <c r="H25" s="378">
        <f t="shared" si="11"/>
        <v>1.1008857308402316</v>
      </c>
      <c r="I25" s="254">
        <f t="shared" si="1"/>
        <v>1701.2299999999996</v>
      </c>
      <c r="J25" s="305">
        <f t="shared" si="17"/>
        <v>1.0745859090709808</v>
      </c>
      <c r="K25" s="254"/>
      <c r="L25" s="254"/>
      <c r="M25" s="254"/>
      <c r="N25" s="254">
        <v>21482.16</v>
      </c>
      <c r="O25" s="254">
        <f t="shared" si="14"/>
        <v>1326.8400000000001</v>
      </c>
      <c r="P25" s="305">
        <f t="shared" si="15"/>
        <v>1.0617647387413556</v>
      </c>
      <c r="Q25" s="304">
        <v>20736.16</v>
      </c>
      <c r="R25" s="166">
        <f t="shared" si="5"/>
        <v>3774.0699999999997</v>
      </c>
      <c r="S25" s="215">
        <f t="shared" si="16"/>
        <v>1.1820042862323592</v>
      </c>
      <c r="T25" s="195">
        <f>E25-жовтень!E25</f>
        <v>405</v>
      </c>
      <c r="U25" s="179">
        <f>F25-жовтень!F25</f>
        <v>911.0400000000009</v>
      </c>
      <c r="V25" s="166">
        <f t="shared" si="10"/>
        <v>506.0400000000009</v>
      </c>
      <c r="W25" s="305">
        <f t="shared" si="13"/>
        <v>2.249481481481484</v>
      </c>
      <c r="X25" s="363">
        <f t="shared" si="18"/>
        <v>0.12023954749100363</v>
      </c>
      <c r="Y25" s="147"/>
    </row>
    <row r="26" spans="1:25" s="6" customFormat="1" ht="18" customHeight="1" hidden="1">
      <c r="A26" s="8"/>
      <c r="B26" s="196" t="s">
        <v>109</v>
      </c>
      <c r="C26" s="197"/>
      <c r="D26" s="199">
        <f>D28+D29</f>
        <v>1822.3</v>
      </c>
      <c r="E26" s="199">
        <f>E28+E29</f>
        <v>1767.3</v>
      </c>
      <c r="F26" s="199">
        <f>F28+F29</f>
        <v>1407.7800000000002</v>
      </c>
      <c r="G26" s="223">
        <f t="shared" si="9"/>
        <v>-359.51999999999975</v>
      </c>
      <c r="H26" s="379">
        <f t="shared" si="11"/>
        <v>0.7965710405703617</v>
      </c>
      <c r="I26" s="299">
        <f t="shared" si="1"/>
        <v>-414.51999999999975</v>
      </c>
      <c r="J26" s="341">
        <f t="shared" si="17"/>
        <v>0.7725292213137246</v>
      </c>
      <c r="K26" s="299"/>
      <c r="L26" s="299"/>
      <c r="M26" s="299"/>
      <c r="N26" s="299">
        <v>842.7</v>
      </c>
      <c r="O26" s="299">
        <f t="shared" si="14"/>
        <v>979.5999999999999</v>
      </c>
      <c r="P26" s="341">
        <f t="shared" si="15"/>
        <v>2.162454016850599</v>
      </c>
      <c r="Q26" s="200">
        <v>815.85</v>
      </c>
      <c r="R26" s="367">
        <f t="shared" si="5"/>
        <v>591.9300000000002</v>
      </c>
      <c r="S26" s="228">
        <f t="shared" si="16"/>
        <v>1.72553778268064</v>
      </c>
      <c r="T26" s="237">
        <f>E26-жовтень!E26</f>
        <v>55</v>
      </c>
      <c r="U26" s="237">
        <f>F26-жовтень!F26</f>
        <v>155.46000000000026</v>
      </c>
      <c r="V26" s="299">
        <f t="shared" si="10"/>
        <v>100.46000000000026</v>
      </c>
      <c r="W26" s="341">
        <f>U26/T26*100</f>
        <v>282.65454545454594</v>
      </c>
      <c r="X26" s="363">
        <f t="shared" si="18"/>
        <v>-0.43691623416995906</v>
      </c>
      <c r="Y26" s="147"/>
    </row>
    <row r="27" spans="1:25" s="6" customFormat="1" ht="18" customHeight="1" hidden="1">
      <c r="A27" s="8"/>
      <c r="B27" s="196" t="s">
        <v>110</v>
      </c>
      <c r="C27" s="197"/>
      <c r="D27" s="199">
        <f>D30+D31</f>
        <v>20986.699999999997</v>
      </c>
      <c r="E27" s="199">
        <f>E30+E31</f>
        <v>20496.8</v>
      </c>
      <c r="F27" s="199">
        <f>F30+F31</f>
        <v>23102.46</v>
      </c>
      <c r="G27" s="223">
        <f t="shared" si="9"/>
        <v>2605.66</v>
      </c>
      <c r="H27" s="379">
        <f t="shared" si="11"/>
        <v>1.1271252097888451</v>
      </c>
      <c r="I27" s="299">
        <f t="shared" si="1"/>
        <v>2115.760000000002</v>
      </c>
      <c r="J27" s="341">
        <f t="shared" si="17"/>
        <v>1.100814325263143</v>
      </c>
      <c r="K27" s="299"/>
      <c r="L27" s="299"/>
      <c r="M27" s="299"/>
      <c r="N27" s="299">
        <v>20639.46</v>
      </c>
      <c r="O27" s="299">
        <f t="shared" si="14"/>
        <v>347.23999999999796</v>
      </c>
      <c r="P27" s="341">
        <f t="shared" si="15"/>
        <v>1.01682408357583</v>
      </c>
      <c r="Q27" s="200">
        <v>19919.31</v>
      </c>
      <c r="R27" s="367">
        <f t="shared" si="5"/>
        <v>3183.149999999998</v>
      </c>
      <c r="S27" s="228">
        <f t="shared" si="16"/>
        <v>1.159802222064921</v>
      </c>
      <c r="T27" s="237">
        <f>E27-жовтень!E27</f>
        <v>350</v>
      </c>
      <c r="U27" s="237">
        <f>F27-жовтень!F27</f>
        <v>755.5799999999981</v>
      </c>
      <c r="V27" s="299">
        <f t="shared" si="10"/>
        <v>405.5799999999981</v>
      </c>
      <c r="W27" s="341">
        <f>U27/T27*100</f>
        <v>215.87999999999946</v>
      </c>
      <c r="X27" s="363">
        <f t="shared" si="18"/>
        <v>0.1429781384890909</v>
      </c>
      <c r="Y27" s="147"/>
    </row>
    <row r="28" spans="1:24" s="6" customFormat="1" ht="18" customHeight="1" hidden="1">
      <c r="A28" s="8"/>
      <c r="B28" s="372" t="s">
        <v>269</v>
      </c>
      <c r="C28" s="197">
        <v>18010100</v>
      </c>
      <c r="D28" s="385">
        <v>922.3</v>
      </c>
      <c r="E28" s="386">
        <v>917.3</v>
      </c>
      <c r="F28" s="373">
        <v>260.86</v>
      </c>
      <c r="G28" s="385">
        <f t="shared" si="9"/>
        <v>-656.4399999999999</v>
      </c>
      <c r="H28" s="387">
        <f t="shared" si="11"/>
        <v>0.2843780660634471</v>
      </c>
      <c r="I28" s="388">
        <f t="shared" si="1"/>
        <v>-661.4399999999999</v>
      </c>
      <c r="J28" s="389">
        <f t="shared" si="17"/>
        <v>0.282836387292638</v>
      </c>
      <c r="K28" s="299"/>
      <c r="L28" s="299"/>
      <c r="M28" s="299"/>
      <c r="N28" s="388">
        <v>395.2</v>
      </c>
      <c r="O28" s="388">
        <f t="shared" si="14"/>
        <v>527.0999999999999</v>
      </c>
      <c r="P28" s="389">
        <f t="shared" si="15"/>
        <v>2.3337550607287447</v>
      </c>
      <c r="Q28" s="388">
        <v>388.94</v>
      </c>
      <c r="R28" s="388">
        <f t="shared" si="5"/>
        <v>-128.07999999999998</v>
      </c>
      <c r="S28" s="389">
        <f t="shared" si="16"/>
        <v>0.6706947086954287</v>
      </c>
      <c r="T28" s="373"/>
      <c r="U28" s="373"/>
      <c r="V28" s="388"/>
      <c r="W28" s="389"/>
      <c r="X28" s="363"/>
    </row>
    <row r="29" spans="1:24" s="6" customFormat="1" ht="18" customHeight="1" hidden="1">
      <c r="A29" s="8"/>
      <c r="B29" s="372" t="s">
        <v>267</v>
      </c>
      <c r="C29" s="197">
        <v>18010200</v>
      </c>
      <c r="D29" s="385">
        <v>900</v>
      </c>
      <c r="E29" s="386">
        <v>850</v>
      </c>
      <c r="F29" s="373">
        <v>1146.92</v>
      </c>
      <c r="G29" s="385">
        <f t="shared" si="9"/>
        <v>296.9200000000001</v>
      </c>
      <c r="H29" s="387">
        <f t="shared" si="11"/>
        <v>1.3493176470588235</v>
      </c>
      <c r="I29" s="388">
        <f t="shared" si="1"/>
        <v>246.92000000000007</v>
      </c>
      <c r="J29" s="389">
        <f t="shared" si="17"/>
        <v>1.2743555555555557</v>
      </c>
      <c r="K29" s="299"/>
      <c r="L29" s="299"/>
      <c r="M29" s="299"/>
      <c r="N29" s="388">
        <v>447.5</v>
      </c>
      <c r="O29" s="388">
        <f t="shared" si="14"/>
        <v>452.5</v>
      </c>
      <c r="P29" s="389">
        <f t="shared" si="15"/>
        <v>2.011173184357542</v>
      </c>
      <c r="Q29" s="388">
        <v>427.91</v>
      </c>
      <c r="R29" s="388">
        <f t="shared" si="5"/>
        <v>719.01</v>
      </c>
      <c r="S29" s="389">
        <f t="shared" si="16"/>
        <v>2.680283237129303</v>
      </c>
      <c r="T29" s="373"/>
      <c r="U29" s="373"/>
      <c r="V29" s="388"/>
      <c r="W29" s="389"/>
      <c r="X29" s="363"/>
    </row>
    <row r="30" spans="1:24" s="6" customFormat="1" ht="18" customHeight="1" hidden="1">
      <c r="A30" s="8"/>
      <c r="B30" s="372" t="s">
        <v>268</v>
      </c>
      <c r="C30" s="197">
        <v>18010300</v>
      </c>
      <c r="D30" s="385">
        <v>2019.1</v>
      </c>
      <c r="E30" s="386">
        <v>2019.1</v>
      </c>
      <c r="F30" s="373">
        <v>2096.87</v>
      </c>
      <c r="G30" s="385">
        <f t="shared" si="9"/>
        <v>77.76999999999998</v>
      </c>
      <c r="H30" s="387">
        <f t="shared" si="11"/>
        <v>1.0385171611113861</v>
      </c>
      <c r="I30" s="388">
        <f t="shared" si="1"/>
        <v>77.76999999999998</v>
      </c>
      <c r="J30" s="389">
        <f t="shared" si="17"/>
        <v>1.0385171611113861</v>
      </c>
      <c r="K30" s="299"/>
      <c r="L30" s="299"/>
      <c r="M30" s="299"/>
      <c r="N30" s="388">
        <v>1968.01</v>
      </c>
      <c r="O30" s="388">
        <f t="shared" si="14"/>
        <v>51.08999999999992</v>
      </c>
      <c r="P30" s="389">
        <f t="shared" si="15"/>
        <v>1.0259602339419007</v>
      </c>
      <c r="Q30" s="388">
        <v>1918.92</v>
      </c>
      <c r="R30" s="388">
        <f t="shared" si="5"/>
        <v>177.94999999999982</v>
      </c>
      <c r="S30" s="389">
        <f t="shared" si="16"/>
        <v>1.0927344547974902</v>
      </c>
      <c r="T30" s="373"/>
      <c r="U30" s="373"/>
      <c r="V30" s="388"/>
      <c r="W30" s="389"/>
      <c r="X30" s="363"/>
    </row>
    <row r="31" spans="1:24" s="6" customFormat="1" ht="18" customHeight="1" hidden="1">
      <c r="A31" s="8"/>
      <c r="B31" s="372" t="s">
        <v>270</v>
      </c>
      <c r="C31" s="197">
        <v>18010400</v>
      </c>
      <c r="D31" s="385">
        <v>18967.6</v>
      </c>
      <c r="E31" s="386">
        <v>18477.7</v>
      </c>
      <c r="F31" s="373">
        <v>21005.59</v>
      </c>
      <c r="G31" s="385">
        <f t="shared" si="9"/>
        <v>2527.8899999999994</v>
      </c>
      <c r="H31" s="387">
        <f t="shared" si="11"/>
        <v>1.1368076113369088</v>
      </c>
      <c r="I31" s="388">
        <f t="shared" si="1"/>
        <v>2037.9900000000016</v>
      </c>
      <c r="J31" s="389">
        <f t="shared" si="17"/>
        <v>1.1074458550370105</v>
      </c>
      <c r="K31" s="299"/>
      <c r="L31" s="299"/>
      <c r="M31" s="299"/>
      <c r="N31" s="388">
        <v>18671.45</v>
      </c>
      <c r="O31" s="388">
        <f t="shared" si="14"/>
        <v>296.1499999999978</v>
      </c>
      <c r="P31" s="389">
        <f t="shared" si="15"/>
        <v>1.0158611141609246</v>
      </c>
      <c r="Q31" s="388">
        <v>18000.38</v>
      </c>
      <c r="R31" s="388">
        <f t="shared" si="5"/>
        <v>3005.209999999999</v>
      </c>
      <c r="S31" s="389">
        <f t="shared" si="16"/>
        <v>1.166952586556506</v>
      </c>
      <c r="T31" s="373"/>
      <c r="U31" s="373"/>
      <c r="V31" s="388"/>
      <c r="W31" s="389"/>
      <c r="X31" s="363"/>
    </row>
    <row r="32" spans="1:24" s="6" customFormat="1" ht="18">
      <c r="A32" s="8"/>
      <c r="B32" s="50" t="s">
        <v>75</v>
      </c>
      <c r="C32" s="123"/>
      <c r="D32" s="171">
        <v>650</v>
      </c>
      <c r="E32" s="369">
        <v>645</v>
      </c>
      <c r="F32" s="172">
        <v>456.38</v>
      </c>
      <c r="G32" s="253">
        <f t="shared" si="9"/>
        <v>-188.62</v>
      </c>
      <c r="H32" s="378">
        <f t="shared" si="11"/>
        <v>0.7075658914728682</v>
      </c>
      <c r="I32" s="254">
        <f t="shared" si="1"/>
        <v>-193.62</v>
      </c>
      <c r="J32" s="305">
        <f t="shared" si="17"/>
        <v>0.702123076923077</v>
      </c>
      <c r="K32" s="254"/>
      <c r="L32" s="254"/>
      <c r="M32" s="254"/>
      <c r="N32" s="254">
        <v>701.85</v>
      </c>
      <c r="O32" s="254">
        <f t="shared" si="14"/>
        <v>-51.85000000000002</v>
      </c>
      <c r="P32" s="305">
        <f t="shared" si="15"/>
        <v>0.9261238156301204</v>
      </c>
      <c r="Q32" s="174">
        <v>787.37</v>
      </c>
      <c r="R32" s="174">
        <f t="shared" si="5"/>
        <v>-330.99</v>
      </c>
      <c r="S32" s="212">
        <f t="shared" si="16"/>
        <v>0.5796258429963042</v>
      </c>
      <c r="T32" s="195">
        <f>E32-жовтень!E28</f>
        <v>5</v>
      </c>
      <c r="U32" s="179">
        <f>F32-жовтень!F28</f>
        <v>203.71</v>
      </c>
      <c r="V32" s="166">
        <f t="shared" si="10"/>
        <v>198.71</v>
      </c>
      <c r="W32" s="305">
        <f>U32/T32</f>
        <v>40.742000000000004</v>
      </c>
      <c r="X32" s="364">
        <f t="shared" si="18"/>
        <v>-0.3464979726338162</v>
      </c>
    </row>
    <row r="33" spans="1:24" s="6" customFormat="1" ht="15" hidden="1">
      <c r="A33" s="8"/>
      <c r="B33" s="50" t="s">
        <v>271</v>
      </c>
      <c r="C33" s="123">
        <v>18011000</v>
      </c>
      <c r="D33" s="103">
        <v>350</v>
      </c>
      <c r="E33" s="390">
        <v>350</v>
      </c>
      <c r="F33" s="140">
        <v>66.53</v>
      </c>
      <c r="G33" s="103">
        <f t="shared" si="9"/>
        <v>-283.47</v>
      </c>
      <c r="H33" s="376">
        <f t="shared" si="11"/>
        <v>0.1900857142857143</v>
      </c>
      <c r="I33" s="104">
        <f t="shared" si="1"/>
        <v>-283.47</v>
      </c>
      <c r="J33" s="109">
        <f t="shared" si="17"/>
        <v>0.1900857142857143</v>
      </c>
      <c r="K33" s="104"/>
      <c r="L33" s="104"/>
      <c r="M33" s="104"/>
      <c r="N33" s="104">
        <v>350.41</v>
      </c>
      <c r="O33" s="104">
        <f t="shared" si="14"/>
        <v>-0.410000000000025</v>
      </c>
      <c r="P33" s="109">
        <f t="shared" si="15"/>
        <v>0.9988299420678632</v>
      </c>
      <c r="Q33" s="104">
        <v>465.52</v>
      </c>
      <c r="R33" s="104">
        <f t="shared" si="5"/>
        <v>-398.99</v>
      </c>
      <c r="S33" s="109">
        <f t="shared" si="16"/>
        <v>0.14291544938992956</v>
      </c>
      <c r="T33" s="105"/>
      <c r="U33" s="144"/>
      <c r="V33" s="106"/>
      <c r="W33" s="109"/>
      <c r="X33" s="364"/>
    </row>
    <row r="34" spans="1:24" s="6" customFormat="1" ht="15" hidden="1">
      <c r="A34" s="8"/>
      <c r="B34" s="50" t="s">
        <v>272</v>
      </c>
      <c r="C34" s="123">
        <v>18011100</v>
      </c>
      <c r="D34" s="103">
        <v>300</v>
      </c>
      <c r="E34" s="390">
        <v>295</v>
      </c>
      <c r="F34" s="140">
        <v>389.85</v>
      </c>
      <c r="G34" s="103">
        <f t="shared" si="9"/>
        <v>94.85000000000002</v>
      </c>
      <c r="H34" s="376">
        <f t="shared" si="11"/>
        <v>1.3215254237288137</v>
      </c>
      <c r="I34" s="104">
        <f t="shared" si="1"/>
        <v>89.85000000000002</v>
      </c>
      <c r="J34" s="109">
        <f t="shared" si="17"/>
        <v>1.2995</v>
      </c>
      <c r="K34" s="104"/>
      <c r="L34" s="104"/>
      <c r="M34" s="104"/>
      <c r="N34" s="104">
        <v>351.44</v>
      </c>
      <c r="O34" s="104">
        <f t="shared" si="14"/>
        <v>-51.44</v>
      </c>
      <c r="P34" s="109">
        <f t="shared" si="15"/>
        <v>0.8536307762349192</v>
      </c>
      <c r="Q34" s="104">
        <v>321.84</v>
      </c>
      <c r="R34" s="104">
        <f t="shared" si="5"/>
        <v>68.01000000000005</v>
      </c>
      <c r="S34" s="109">
        <f t="shared" si="16"/>
        <v>1.2113161819537661</v>
      </c>
      <c r="T34" s="105"/>
      <c r="U34" s="144"/>
      <c r="V34" s="106"/>
      <c r="W34" s="109"/>
      <c r="X34" s="364"/>
    </row>
    <row r="35" spans="1:24" s="6" customFormat="1" ht="18">
      <c r="A35" s="8"/>
      <c r="B35" s="50" t="s">
        <v>76</v>
      </c>
      <c r="C35" s="123"/>
      <c r="D35" s="171">
        <v>183292</v>
      </c>
      <c r="E35" s="369">
        <v>168652</v>
      </c>
      <c r="F35" s="172">
        <v>166289.2</v>
      </c>
      <c r="G35" s="150">
        <f t="shared" si="9"/>
        <v>-2362.7999999999884</v>
      </c>
      <c r="H35" s="378">
        <f t="shared" si="11"/>
        <v>0.985990086094443</v>
      </c>
      <c r="I35" s="254">
        <f t="shared" si="1"/>
        <v>-17002.79999999999</v>
      </c>
      <c r="J35" s="305">
        <f t="shared" si="17"/>
        <v>0.9072365406018812</v>
      </c>
      <c r="K35" s="254"/>
      <c r="L35" s="254"/>
      <c r="M35" s="254"/>
      <c r="N35" s="254">
        <v>160111.04</v>
      </c>
      <c r="O35" s="254">
        <f t="shared" si="14"/>
        <v>23180.959999999992</v>
      </c>
      <c r="P35" s="305">
        <f t="shared" si="15"/>
        <v>1.1447805223175116</v>
      </c>
      <c r="Q35" s="175">
        <v>145736.57</v>
      </c>
      <c r="R35" s="175">
        <f t="shared" si="5"/>
        <v>20552.630000000005</v>
      </c>
      <c r="S35" s="211">
        <f t="shared" si="16"/>
        <v>1.1410258935008557</v>
      </c>
      <c r="T35" s="195">
        <f>E35-жовтень!E29</f>
        <v>16735</v>
      </c>
      <c r="U35" s="179">
        <f>F35-жовтень!F29</f>
        <v>14214.370000000024</v>
      </c>
      <c r="V35" s="166">
        <f t="shared" si="10"/>
        <v>-2520.6299999999756</v>
      </c>
      <c r="W35" s="305">
        <f>U35/T35</f>
        <v>0.8493797430534822</v>
      </c>
      <c r="X35" s="364">
        <f t="shared" si="18"/>
        <v>-0.0037546288166558917</v>
      </c>
    </row>
    <row r="36" spans="1:24" s="6" customFormat="1" ht="18" customHeight="1" hidden="1">
      <c r="A36" s="8"/>
      <c r="B36" s="196" t="s">
        <v>111</v>
      </c>
      <c r="C36" s="197"/>
      <c r="D36" s="199">
        <f aca="true" t="shared" si="19" ref="D36:F37">D38+D40</f>
        <v>58533</v>
      </c>
      <c r="E36" s="199">
        <f t="shared" si="19"/>
        <v>53733</v>
      </c>
      <c r="F36" s="199">
        <f t="shared" si="19"/>
        <v>54002.04</v>
      </c>
      <c r="G36" s="223">
        <f t="shared" si="9"/>
        <v>269.0400000000009</v>
      </c>
      <c r="H36" s="379">
        <f t="shared" si="11"/>
        <v>1.0050069789514824</v>
      </c>
      <c r="I36" s="299">
        <f t="shared" si="1"/>
        <v>-4530.959999999999</v>
      </c>
      <c r="J36" s="341">
        <f t="shared" si="17"/>
        <v>0.9225913587207216</v>
      </c>
      <c r="K36" s="299"/>
      <c r="L36" s="299"/>
      <c r="M36" s="299"/>
      <c r="N36" s="299">
        <v>49911.97</v>
      </c>
      <c r="O36" s="299">
        <f t="shared" si="14"/>
        <v>8621.029999999999</v>
      </c>
      <c r="P36" s="341">
        <f t="shared" si="15"/>
        <v>1.1727246991052447</v>
      </c>
      <c r="Q36" s="200">
        <v>46002.62</v>
      </c>
      <c r="R36" s="200">
        <f t="shared" si="5"/>
        <v>7999.419999999998</v>
      </c>
      <c r="S36" s="228">
        <f t="shared" si="16"/>
        <v>1.1738905305828233</v>
      </c>
      <c r="T36" s="237">
        <f>E36-жовтень!E30</f>
        <v>5800</v>
      </c>
      <c r="U36" s="237">
        <f>F36-жовтень!F30</f>
        <v>4353.93</v>
      </c>
      <c r="V36" s="299">
        <f t="shared" si="10"/>
        <v>-1446.0699999999997</v>
      </c>
      <c r="W36" s="341">
        <f>U36/T36*100</f>
        <v>75.06775862068966</v>
      </c>
      <c r="X36" s="363">
        <f t="shared" si="18"/>
        <v>0.0011658314775786494</v>
      </c>
    </row>
    <row r="37" spans="1:24" s="6" customFormat="1" ht="18" customHeight="1" hidden="1">
      <c r="A37" s="8"/>
      <c r="B37" s="196" t="s">
        <v>112</v>
      </c>
      <c r="C37" s="197"/>
      <c r="D37" s="199">
        <f t="shared" si="19"/>
        <v>124759</v>
      </c>
      <c r="E37" s="199">
        <f t="shared" si="19"/>
        <v>114919</v>
      </c>
      <c r="F37" s="199">
        <f t="shared" si="19"/>
        <v>112287.15000000001</v>
      </c>
      <c r="G37" s="223">
        <f t="shared" si="9"/>
        <v>-2631.8499999999913</v>
      </c>
      <c r="H37" s="379">
        <f t="shared" si="11"/>
        <v>0.977098217005021</v>
      </c>
      <c r="I37" s="299">
        <f t="shared" si="1"/>
        <v>-12471.849999999991</v>
      </c>
      <c r="J37" s="341">
        <f t="shared" si="17"/>
        <v>0.9000324625878695</v>
      </c>
      <c r="K37" s="299"/>
      <c r="L37" s="299"/>
      <c r="M37" s="299"/>
      <c r="N37" s="299">
        <v>110199.06</v>
      </c>
      <c r="O37" s="299">
        <f t="shared" si="14"/>
        <v>14559.940000000002</v>
      </c>
      <c r="P37" s="341">
        <f t="shared" si="15"/>
        <v>1.1321239945240913</v>
      </c>
      <c r="Q37" s="200">
        <v>99733.95</v>
      </c>
      <c r="R37" s="200">
        <f t="shared" si="5"/>
        <v>12553.200000000012</v>
      </c>
      <c r="S37" s="228">
        <f t="shared" si="16"/>
        <v>1.1258668688044544</v>
      </c>
      <c r="T37" s="237">
        <f>E37-жовтень!E31</f>
        <v>10935</v>
      </c>
      <c r="U37" s="237">
        <f>F37-жовтень!F31</f>
        <v>9860.430000000008</v>
      </c>
      <c r="V37" s="299">
        <f t="shared" si="10"/>
        <v>-1074.5699999999924</v>
      </c>
      <c r="W37" s="341">
        <f>U37/T37*100</f>
        <v>90.17311385459541</v>
      </c>
      <c r="X37" s="363">
        <f t="shared" si="18"/>
        <v>-0.00625712571963688</v>
      </c>
    </row>
    <row r="38" spans="1:24" s="6" customFormat="1" ht="18" customHeight="1" hidden="1">
      <c r="A38" s="8"/>
      <c r="B38" s="374" t="s">
        <v>273</v>
      </c>
      <c r="C38" s="197">
        <v>18010500</v>
      </c>
      <c r="D38" s="385">
        <v>54968</v>
      </c>
      <c r="E38" s="385">
        <v>50368</v>
      </c>
      <c r="F38" s="373">
        <v>50769.41</v>
      </c>
      <c r="G38" s="385">
        <f t="shared" si="9"/>
        <v>401.4100000000035</v>
      </c>
      <c r="H38" s="387">
        <f t="shared" si="11"/>
        <v>1.0079695441550192</v>
      </c>
      <c r="I38" s="388">
        <f t="shared" si="1"/>
        <v>-4198.5899999999965</v>
      </c>
      <c r="J38" s="389">
        <f t="shared" si="17"/>
        <v>0.9236175593072333</v>
      </c>
      <c r="K38" s="299"/>
      <c r="L38" s="299"/>
      <c r="M38" s="299"/>
      <c r="N38" s="388">
        <v>46607.08</v>
      </c>
      <c r="O38" s="388">
        <f t="shared" si="14"/>
        <v>8360.919999999998</v>
      </c>
      <c r="P38" s="389">
        <f t="shared" si="15"/>
        <v>1.1793916289113155</v>
      </c>
      <c r="Q38" s="388">
        <v>42811.57</v>
      </c>
      <c r="R38" s="388">
        <f t="shared" si="5"/>
        <v>7957.840000000004</v>
      </c>
      <c r="S38" s="389">
        <f t="shared" si="16"/>
        <v>1.1858805925594413</v>
      </c>
      <c r="T38" s="373"/>
      <c r="U38" s="373"/>
      <c r="V38" s="388"/>
      <c r="W38" s="389"/>
      <c r="X38" s="363"/>
    </row>
    <row r="39" spans="1:24" s="6" customFormat="1" ht="18" customHeight="1" hidden="1">
      <c r="A39" s="8"/>
      <c r="B39" s="374" t="s">
        <v>274</v>
      </c>
      <c r="C39" s="197">
        <v>18010600</v>
      </c>
      <c r="D39" s="385">
        <v>103924</v>
      </c>
      <c r="E39" s="385">
        <v>95039</v>
      </c>
      <c r="F39" s="373">
        <v>93683.21</v>
      </c>
      <c r="G39" s="385">
        <f t="shared" si="9"/>
        <v>-1355.7899999999936</v>
      </c>
      <c r="H39" s="387">
        <f t="shared" si="11"/>
        <v>0.985734382727091</v>
      </c>
      <c r="I39" s="388">
        <f t="shared" si="1"/>
        <v>-10240.789999999994</v>
      </c>
      <c r="J39" s="389">
        <f t="shared" si="17"/>
        <v>0.901458854547554</v>
      </c>
      <c r="K39" s="299"/>
      <c r="L39" s="299"/>
      <c r="M39" s="299"/>
      <c r="N39" s="388">
        <v>91357.39</v>
      </c>
      <c r="O39" s="388">
        <f t="shared" si="14"/>
        <v>12566.61</v>
      </c>
      <c r="P39" s="389">
        <f t="shared" si="15"/>
        <v>1.1375543894150215</v>
      </c>
      <c r="Q39" s="388">
        <v>82561.09</v>
      </c>
      <c r="R39" s="388">
        <f t="shared" si="5"/>
        <v>11122.12000000001</v>
      </c>
      <c r="S39" s="389">
        <f t="shared" si="16"/>
        <v>1.1347138222133455</v>
      </c>
      <c r="T39" s="373"/>
      <c r="U39" s="373"/>
      <c r="V39" s="388"/>
      <c r="W39" s="389"/>
      <c r="X39" s="363"/>
    </row>
    <row r="40" spans="1:24" s="6" customFormat="1" ht="18" customHeight="1" hidden="1">
      <c r="A40" s="8"/>
      <c r="B40" s="374" t="s">
        <v>275</v>
      </c>
      <c r="C40" s="197">
        <v>18010700</v>
      </c>
      <c r="D40" s="385">
        <v>3565</v>
      </c>
      <c r="E40" s="385">
        <v>3365</v>
      </c>
      <c r="F40" s="373">
        <v>3232.63</v>
      </c>
      <c r="G40" s="385">
        <f t="shared" si="9"/>
        <v>-132.3699999999999</v>
      </c>
      <c r="H40" s="387">
        <f t="shared" si="11"/>
        <v>0.960662704309064</v>
      </c>
      <c r="I40" s="388">
        <f t="shared" si="1"/>
        <v>-332.3699999999999</v>
      </c>
      <c r="J40" s="389">
        <f t="shared" si="17"/>
        <v>0.9067685834502104</v>
      </c>
      <c r="K40" s="299"/>
      <c r="L40" s="299"/>
      <c r="M40" s="299"/>
      <c r="N40" s="388">
        <v>3304.89</v>
      </c>
      <c r="O40" s="388">
        <f t="shared" si="14"/>
        <v>260.1100000000001</v>
      </c>
      <c r="P40" s="389">
        <f t="shared" si="15"/>
        <v>1.0787045862343376</v>
      </c>
      <c r="Q40" s="388">
        <v>3191.05</v>
      </c>
      <c r="R40" s="388">
        <f t="shared" si="5"/>
        <v>41.57999999999993</v>
      </c>
      <c r="S40" s="389">
        <f t="shared" si="16"/>
        <v>1.0130301938233497</v>
      </c>
      <c r="T40" s="373"/>
      <c r="U40" s="373"/>
      <c r="V40" s="388"/>
      <c r="W40" s="389"/>
      <c r="X40" s="363"/>
    </row>
    <row r="41" spans="1:24" s="6" customFormat="1" ht="18" customHeight="1" hidden="1">
      <c r="A41" s="8"/>
      <c r="B41" s="374" t="s">
        <v>276</v>
      </c>
      <c r="C41" s="197">
        <v>18010900</v>
      </c>
      <c r="D41" s="385">
        <v>20835</v>
      </c>
      <c r="E41" s="385">
        <v>19880</v>
      </c>
      <c r="F41" s="373">
        <v>18603.94</v>
      </c>
      <c r="G41" s="385">
        <f t="shared" si="9"/>
        <v>-1276.0600000000013</v>
      </c>
      <c r="H41" s="387">
        <f t="shared" si="11"/>
        <v>0.9358118712273641</v>
      </c>
      <c r="I41" s="388">
        <f t="shared" si="1"/>
        <v>-2231.0600000000013</v>
      </c>
      <c r="J41" s="389">
        <f t="shared" si="17"/>
        <v>0.8929176865850731</v>
      </c>
      <c r="K41" s="299"/>
      <c r="L41" s="299"/>
      <c r="M41" s="299"/>
      <c r="N41" s="388">
        <v>18841.68</v>
      </c>
      <c r="O41" s="388">
        <f t="shared" si="14"/>
        <v>1993.3199999999997</v>
      </c>
      <c r="P41" s="389">
        <f t="shared" si="15"/>
        <v>1.1057931139898354</v>
      </c>
      <c r="Q41" s="388">
        <v>17172.76</v>
      </c>
      <c r="R41" s="388">
        <f t="shared" si="5"/>
        <v>1431.1800000000003</v>
      </c>
      <c r="S41" s="389">
        <f t="shared" si="16"/>
        <v>1.0833401270384027</v>
      </c>
      <c r="T41" s="373"/>
      <c r="U41" s="373"/>
      <c r="V41" s="388"/>
      <c r="W41" s="389"/>
      <c r="X41" s="363"/>
    </row>
    <row r="42" spans="1:24" s="6" customFormat="1" ht="18">
      <c r="A42" s="8"/>
      <c r="B42" s="225" t="s">
        <v>115</v>
      </c>
      <c r="C42" s="222">
        <v>18020000</v>
      </c>
      <c r="D42" s="162">
        <v>0</v>
      </c>
      <c r="E42" s="162">
        <v>0</v>
      </c>
      <c r="F42" s="199">
        <v>0.2</v>
      </c>
      <c r="G42" s="150">
        <f t="shared" si="9"/>
        <v>0.2</v>
      </c>
      <c r="H42" s="375"/>
      <c r="I42" s="158">
        <f t="shared" si="1"/>
        <v>0.2</v>
      </c>
      <c r="J42" s="158"/>
      <c r="K42" s="158"/>
      <c r="L42" s="158"/>
      <c r="M42" s="158"/>
      <c r="N42" s="158">
        <v>0.15</v>
      </c>
      <c r="O42" s="158">
        <f t="shared" si="14"/>
        <v>-0.15</v>
      </c>
      <c r="P42" s="210">
        <f t="shared" si="15"/>
        <v>0</v>
      </c>
      <c r="Q42" s="167">
        <v>0.15</v>
      </c>
      <c r="R42" s="158">
        <f t="shared" si="5"/>
        <v>0.05000000000000002</v>
      </c>
      <c r="S42" s="210"/>
      <c r="T42" s="157">
        <f>E42-жовтень!E32</f>
        <v>0</v>
      </c>
      <c r="U42" s="160">
        <f>F42-жовтень!F32</f>
        <v>0</v>
      </c>
      <c r="V42" s="161">
        <f t="shared" si="10"/>
        <v>0</v>
      </c>
      <c r="W42" s="210"/>
      <c r="X42" s="363">
        <f t="shared" si="18"/>
        <v>0</v>
      </c>
    </row>
    <row r="43" spans="1:24" s="6" customFormat="1" ht="18">
      <c r="A43" s="8"/>
      <c r="B43" s="44" t="s">
        <v>82</v>
      </c>
      <c r="C43" s="114">
        <v>18030000</v>
      </c>
      <c r="D43" s="150">
        <v>115</v>
      </c>
      <c r="E43" s="150">
        <v>107.5</v>
      </c>
      <c r="F43" s="156">
        <v>156.8</v>
      </c>
      <c r="G43" s="150">
        <f t="shared" si="9"/>
        <v>49.30000000000001</v>
      </c>
      <c r="H43" s="375">
        <f>F43/E43</f>
        <v>1.4586046511627908</v>
      </c>
      <c r="I43" s="158">
        <f t="shared" si="1"/>
        <v>41.80000000000001</v>
      </c>
      <c r="J43" s="210">
        <f>F43/D43</f>
        <v>1.3634782608695653</v>
      </c>
      <c r="K43" s="158"/>
      <c r="L43" s="158"/>
      <c r="M43" s="158"/>
      <c r="N43" s="158">
        <v>117.68</v>
      </c>
      <c r="O43" s="158">
        <f t="shared" si="14"/>
        <v>-2.680000000000007</v>
      </c>
      <c r="P43" s="210">
        <f t="shared" si="15"/>
        <v>0.9772263766145479</v>
      </c>
      <c r="Q43" s="158">
        <v>114.68</v>
      </c>
      <c r="R43" s="158">
        <f t="shared" si="5"/>
        <v>42.120000000000005</v>
      </c>
      <c r="S43" s="210">
        <f aca="true" t="shared" si="20" ref="S43:S51">F43/Q43</f>
        <v>1.3672828740844087</v>
      </c>
      <c r="T43" s="157">
        <f>E43-жовтень!E33</f>
        <v>15</v>
      </c>
      <c r="U43" s="160">
        <f>F43-жовтень!F33</f>
        <v>22.439999999999998</v>
      </c>
      <c r="V43" s="161">
        <f t="shared" si="10"/>
        <v>7.439999999999998</v>
      </c>
      <c r="W43" s="210">
        <f>U43/T43</f>
        <v>1.4959999999999998</v>
      </c>
      <c r="X43" s="363">
        <f t="shared" si="18"/>
        <v>0.3900564974698608</v>
      </c>
    </row>
    <row r="44" spans="1:24" s="6" customFormat="1" ht="18" hidden="1">
      <c r="A44" s="8"/>
      <c r="B44" s="50" t="s">
        <v>277</v>
      </c>
      <c r="C44" s="102">
        <v>18031000</v>
      </c>
      <c r="D44" s="150">
        <v>52</v>
      </c>
      <c r="E44" s="103">
        <v>48.5</v>
      </c>
      <c r="F44" s="140">
        <v>95.14</v>
      </c>
      <c r="G44" s="103">
        <f t="shared" si="9"/>
        <v>46.64</v>
      </c>
      <c r="H44" s="376">
        <f>F44/E44</f>
        <v>1.9616494845360826</v>
      </c>
      <c r="I44" s="104">
        <f t="shared" si="1"/>
        <v>43.14</v>
      </c>
      <c r="J44" s="109">
        <f>F44/D44</f>
        <v>1.8296153846153846</v>
      </c>
      <c r="K44" s="104"/>
      <c r="L44" s="104"/>
      <c r="M44" s="104"/>
      <c r="N44" s="104">
        <v>53.55</v>
      </c>
      <c r="O44" s="104">
        <f t="shared" si="14"/>
        <v>-1.5499999999999972</v>
      </c>
      <c r="P44" s="109">
        <f t="shared" si="15"/>
        <v>0.9710550887021476</v>
      </c>
      <c r="Q44" s="104">
        <v>52.05</v>
      </c>
      <c r="R44" s="104">
        <f t="shared" si="5"/>
        <v>43.09</v>
      </c>
      <c r="S44" s="109">
        <f t="shared" si="20"/>
        <v>1.827857829010567</v>
      </c>
      <c r="T44" s="105"/>
      <c r="U44" s="144"/>
      <c r="V44" s="106"/>
      <c r="W44" s="109"/>
      <c r="X44" s="363"/>
    </row>
    <row r="45" spans="1:24" s="6" customFormat="1" ht="18" hidden="1">
      <c r="A45" s="8"/>
      <c r="B45" s="50" t="s">
        <v>278</v>
      </c>
      <c r="C45" s="102">
        <v>18031100</v>
      </c>
      <c r="D45" s="150">
        <v>63</v>
      </c>
      <c r="E45" s="103">
        <v>59</v>
      </c>
      <c r="F45" s="140">
        <v>61.66</v>
      </c>
      <c r="G45" s="103">
        <f t="shared" si="9"/>
        <v>2.6599999999999966</v>
      </c>
      <c r="H45" s="376">
        <f>F45/E45</f>
        <v>1.0450847457627117</v>
      </c>
      <c r="I45" s="104">
        <f t="shared" si="1"/>
        <v>-1.3400000000000034</v>
      </c>
      <c r="J45" s="109">
        <f>F45/D45</f>
        <v>0.9787301587301587</v>
      </c>
      <c r="K45" s="104"/>
      <c r="L45" s="104"/>
      <c r="M45" s="104"/>
      <c r="N45" s="104">
        <v>64.14</v>
      </c>
      <c r="O45" s="104">
        <f t="shared" si="14"/>
        <v>-1.1400000000000006</v>
      </c>
      <c r="P45" s="109">
        <f t="shared" si="15"/>
        <v>0.9822263797942001</v>
      </c>
      <c r="Q45" s="104">
        <v>62.64</v>
      </c>
      <c r="R45" s="104">
        <f t="shared" si="5"/>
        <v>-0.980000000000004</v>
      </c>
      <c r="S45" s="109">
        <f t="shared" si="20"/>
        <v>0.9843550446998722</v>
      </c>
      <c r="T45" s="105"/>
      <c r="U45" s="144"/>
      <c r="V45" s="106"/>
      <c r="W45" s="109"/>
      <c r="X45" s="363"/>
    </row>
    <row r="46" spans="1:24" s="6" customFormat="1" ht="30.75">
      <c r="A46" s="8"/>
      <c r="B46" s="225" t="s">
        <v>83</v>
      </c>
      <c r="C46" s="114">
        <v>18040000</v>
      </c>
      <c r="D46" s="150"/>
      <c r="E46" s="150"/>
      <c r="F46" s="156">
        <v>-42.88</v>
      </c>
      <c r="G46" s="150">
        <f t="shared" si="9"/>
        <v>-42.88</v>
      </c>
      <c r="H46" s="375"/>
      <c r="I46" s="158">
        <f t="shared" si="1"/>
        <v>-42.88</v>
      </c>
      <c r="J46" s="210"/>
      <c r="K46" s="158"/>
      <c r="L46" s="158"/>
      <c r="M46" s="158"/>
      <c r="N46" s="158">
        <v>-177.97</v>
      </c>
      <c r="O46" s="158">
        <f t="shared" si="14"/>
        <v>177.97</v>
      </c>
      <c r="P46" s="210">
        <f t="shared" si="15"/>
        <v>0</v>
      </c>
      <c r="Q46" s="158">
        <v>-173.97</v>
      </c>
      <c r="R46" s="158">
        <f t="shared" si="5"/>
        <v>131.09</v>
      </c>
      <c r="S46" s="210">
        <f t="shared" si="20"/>
        <v>0.2464792780364431</v>
      </c>
      <c r="T46" s="157">
        <f>E46-жовтень!E34</f>
        <v>0</v>
      </c>
      <c r="U46" s="160">
        <f>F46-жовтень!F34</f>
        <v>0.5799999999999983</v>
      </c>
      <c r="V46" s="161">
        <f t="shared" si="10"/>
        <v>0.5799999999999983</v>
      </c>
      <c r="W46" s="210"/>
      <c r="X46" s="363">
        <f t="shared" si="18"/>
        <v>0.2464792780364431</v>
      </c>
    </row>
    <row r="47" spans="1:24" s="6" customFormat="1" ht="18">
      <c r="A47" s="8"/>
      <c r="B47" s="44" t="s">
        <v>84</v>
      </c>
      <c r="C47" s="114">
        <v>18050000</v>
      </c>
      <c r="D47" s="162">
        <v>194394.1</v>
      </c>
      <c r="E47" s="162">
        <v>187755</v>
      </c>
      <c r="F47" s="163">
        <v>212800.75</v>
      </c>
      <c r="G47" s="150">
        <f t="shared" si="9"/>
        <v>25045.75</v>
      </c>
      <c r="H47" s="375">
        <f>F47/E47*100</f>
        <v>113.33959148890843</v>
      </c>
      <c r="I47" s="158">
        <f t="shared" si="1"/>
        <v>18406.649999999994</v>
      </c>
      <c r="J47" s="210">
        <f>F47/D47</f>
        <v>1.094687287319934</v>
      </c>
      <c r="K47" s="158"/>
      <c r="L47" s="158"/>
      <c r="M47" s="158"/>
      <c r="N47" s="158">
        <v>158268.6</v>
      </c>
      <c r="O47" s="158">
        <f t="shared" si="14"/>
        <v>36125.5</v>
      </c>
      <c r="P47" s="210">
        <f t="shared" si="15"/>
        <v>1.2282543726298205</v>
      </c>
      <c r="Q47" s="178">
        <v>150029.99</v>
      </c>
      <c r="R47" s="178">
        <f t="shared" si="5"/>
        <v>62770.76000000001</v>
      </c>
      <c r="S47" s="226">
        <f t="shared" si="20"/>
        <v>1.4183880836091505</v>
      </c>
      <c r="T47" s="157">
        <f>E47-жовтень!E35</f>
        <v>18700</v>
      </c>
      <c r="U47" s="160">
        <f>F47-жовтень!F35</f>
        <v>31942.23999999999</v>
      </c>
      <c r="V47" s="161">
        <f t="shared" si="10"/>
        <v>13242.23999999999</v>
      </c>
      <c r="W47" s="210">
        <f>U47/T47</f>
        <v>1.7081411764705878</v>
      </c>
      <c r="X47" s="363">
        <f t="shared" si="18"/>
        <v>0.19013371097932996</v>
      </c>
    </row>
    <row r="48" spans="1:24" s="6" customFormat="1" ht="15" customHeight="1">
      <c r="A48" s="8"/>
      <c r="B48" s="50" t="s">
        <v>90</v>
      </c>
      <c r="C48" s="102">
        <v>18050200</v>
      </c>
      <c r="D48" s="103">
        <v>0</v>
      </c>
      <c r="E48" s="103">
        <v>0</v>
      </c>
      <c r="F48" s="140">
        <v>0.01</v>
      </c>
      <c r="G48" s="103">
        <f>F48-E48</f>
        <v>0.01</v>
      </c>
      <c r="H48" s="376"/>
      <c r="I48" s="104">
        <f t="shared" si="1"/>
        <v>0.01</v>
      </c>
      <c r="J48" s="109"/>
      <c r="K48" s="104"/>
      <c r="L48" s="104"/>
      <c r="M48" s="104"/>
      <c r="N48" s="104">
        <v>0.23</v>
      </c>
      <c r="O48" s="104">
        <f t="shared" si="14"/>
        <v>-0.23</v>
      </c>
      <c r="P48" s="109">
        <f t="shared" si="15"/>
        <v>0</v>
      </c>
      <c r="Q48" s="127">
        <v>0.23</v>
      </c>
      <c r="R48" s="127">
        <f t="shared" si="5"/>
        <v>-0.22</v>
      </c>
      <c r="S48" s="216">
        <f t="shared" si="20"/>
        <v>0.043478260869565216</v>
      </c>
      <c r="T48" s="105">
        <f>E48-жовтень!E36</f>
        <v>0</v>
      </c>
      <c r="U48" s="144">
        <f>F48-жовтень!F36</f>
        <v>0</v>
      </c>
      <c r="V48" s="106">
        <f t="shared" si="10"/>
        <v>0</v>
      </c>
      <c r="W48" s="109"/>
      <c r="X48" s="363">
        <f t="shared" si="18"/>
        <v>0.043478260869565216</v>
      </c>
    </row>
    <row r="49" spans="1:24" s="6" customFormat="1" ht="15" customHeight="1">
      <c r="A49" s="8"/>
      <c r="B49" s="50" t="s">
        <v>91</v>
      </c>
      <c r="C49" s="102">
        <v>18050300</v>
      </c>
      <c r="D49" s="103">
        <v>41000</v>
      </c>
      <c r="E49" s="103">
        <v>39500</v>
      </c>
      <c r="F49" s="140">
        <v>43314.11</v>
      </c>
      <c r="G49" s="103">
        <f>F49-E49</f>
        <v>3814.1100000000006</v>
      </c>
      <c r="H49" s="376">
        <f>F49/E49</f>
        <v>1.096559746835443</v>
      </c>
      <c r="I49" s="104">
        <f t="shared" si="1"/>
        <v>2314.1100000000006</v>
      </c>
      <c r="J49" s="109">
        <f>F49/D49</f>
        <v>1.056441707317073</v>
      </c>
      <c r="K49" s="104"/>
      <c r="L49" s="104"/>
      <c r="M49" s="104"/>
      <c r="N49" s="104">
        <v>39173.72</v>
      </c>
      <c r="O49" s="104">
        <f t="shared" si="14"/>
        <v>1826.2799999999988</v>
      </c>
      <c r="P49" s="109">
        <f t="shared" si="15"/>
        <v>1.0466200299588602</v>
      </c>
      <c r="Q49" s="127">
        <v>37146.19</v>
      </c>
      <c r="R49" s="127">
        <f t="shared" si="5"/>
        <v>6167.919999999998</v>
      </c>
      <c r="S49" s="216">
        <f t="shared" si="20"/>
        <v>1.1660444853159906</v>
      </c>
      <c r="T49" s="105">
        <f>E49-жовтень!E37</f>
        <v>4860</v>
      </c>
      <c r="U49" s="144">
        <f>F49-жовтень!F37</f>
        <v>8448.239999999998</v>
      </c>
      <c r="V49" s="106">
        <f t="shared" si="10"/>
        <v>3588.239999999998</v>
      </c>
      <c r="W49" s="109">
        <f>U49/T49</f>
        <v>1.7383209876543206</v>
      </c>
      <c r="X49" s="363">
        <f t="shared" si="18"/>
        <v>0.11942445535713042</v>
      </c>
    </row>
    <row r="50" spans="1:24" s="6" customFormat="1" ht="15" customHeight="1">
      <c r="A50" s="8"/>
      <c r="B50" s="50" t="s">
        <v>92</v>
      </c>
      <c r="C50" s="102">
        <v>18050400</v>
      </c>
      <c r="D50" s="103">
        <v>153339.1</v>
      </c>
      <c r="E50" s="103">
        <v>148200</v>
      </c>
      <c r="F50" s="140">
        <v>169421.65</v>
      </c>
      <c r="G50" s="103">
        <f>F50-E50</f>
        <v>21221.649999999994</v>
      </c>
      <c r="H50" s="376">
        <f>F50/E50</f>
        <v>1.1431960188933872</v>
      </c>
      <c r="I50" s="104">
        <f t="shared" si="1"/>
        <v>16082.549999999988</v>
      </c>
      <c r="J50" s="109">
        <f>F50/D50</f>
        <v>1.1048822511675103</v>
      </c>
      <c r="K50" s="104"/>
      <c r="L50" s="104"/>
      <c r="M50" s="104"/>
      <c r="N50" s="104">
        <v>119039.46</v>
      </c>
      <c r="O50" s="104">
        <f t="shared" si="14"/>
        <v>34299.64</v>
      </c>
      <c r="P50" s="109">
        <f t="shared" si="15"/>
        <v>1.2881367237384982</v>
      </c>
      <c r="Q50" s="127">
        <v>112830.49</v>
      </c>
      <c r="R50" s="127">
        <f t="shared" si="5"/>
        <v>56591.15999999999</v>
      </c>
      <c r="S50" s="216">
        <f t="shared" si="20"/>
        <v>1.5015591087125473</v>
      </c>
      <c r="T50" s="105">
        <f>E50-жовтень!E38</f>
        <v>13840</v>
      </c>
      <c r="U50" s="144">
        <f>F50-жовтень!F38</f>
        <v>23494.160000000003</v>
      </c>
      <c r="V50" s="106">
        <f t="shared" si="10"/>
        <v>9654.160000000003</v>
      </c>
      <c r="W50" s="109">
        <f>U50/T50</f>
        <v>1.697554913294798</v>
      </c>
      <c r="X50" s="363">
        <f t="shared" si="18"/>
        <v>0.21342238497404908</v>
      </c>
    </row>
    <row r="51" spans="1:24" s="6" customFormat="1" ht="15" customHeight="1">
      <c r="A51" s="8"/>
      <c r="B51" s="50" t="s">
        <v>93</v>
      </c>
      <c r="C51" s="102">
        <v>18050500</v>
      </c>
      <c r="D51" s="103">
        <v>55</v>
      </c>
      <c r="E51" s="103">
        <v>55</v>
      </c>
      <c r="F51" s="140">
        <v>64.97</v>
      </c>
      <c r="G51" s="103">
        <f>F51-E51</f>
        <v>9.969999999999999</v>
      </c>
      <c r="H51" s="376">
        <f>F51/E51</f>
        <v>1.1812727272727273</v>
      </c>
      <c r="I51" s="104">
        <f t="shared" si="1"/>
        <v>9.969999999999999</v>
      </c>
      <c r="J51" s="109">
        <f>F51/D51</f>
        <v>1.1812727272727273</v>
      </c>
      <c r="K51" s="104"/>
      <c r="L51" s="104"/>
      <c r="M51" s="104"/>
      <c r="N51" s="104">
        <v>55.18</v>
      </c>
      <c r="O51" s="104">
        <f t="shared" si="14"/>
        <v>-0.17999999999999972</v>
      </c>
      <c r="P51" s="109">
        <f t="shared" si="15"/>
        <v>0.9967379485320769</v>
      </c>
      <c r="Q51" s="127">
        <v>53.08</v>
      </c>
      <c r="R51" s="127">
        <f t="shared" si="5"/>
        <v>11.89</v>
      </c>
      <c r="S51" s="216">
        <f t="shared" si="20"/>
        <v>1.2240015071590054</v>
      </c>
      <c r="T51" s="105">
        <f>E51-жовтень!E39</f>
        <v>0</v>
      </c>
      <c r="U51" s="144">
        <f>F51-жовтень!F39</f>
        <v>-0.1700000000000017</v>
      </c>
      <c r="V51" s="106">
        <f t="shared" si="10"/>
        <v>-0.1700000000000017</v>
      </c>
      <c r="W51" s="109"/>
      <c r="X51" s="363">
        <f t="shared" si="18"/>
        <v>0.22726355862692849</v>
      </c>
    </row>
    <row r="52" spans="1:24" s="6" customFormat="1" ht="15" customHeight="1">
      <c r="A52" s="8"/>
      <c r="B52" s="232"/>
      <c r="C52" s="43"/>
      <c r="D52" s="34">
        <v>0</v>
      </c>
      <c r="E52" s="34">
        <v>0</v>
      </c>
      <c r="F52" s="290">
        <v>0</v>
      </c>
      <c r="G52" s="34">
        <f>F52-E52</f>
        <v>0</v>
      </c>
      <c r="H52" s="375"/>
      <c r="I52" s="119">
        <f t="shared" si="1"/>
        <v>0</v>
      </c>
      <c r="J52" s="94"/>
      <c r="K52" s="37"/>
      <c r="L52" s="37"/>
      <c r="M52" s="37"/>
      <c r="N52" s="37"/>
      <c r="O52" s="37"/>
      <c r="P52" s="94"/>
      <c r="Q52" s="119">
        <v>0</v>
      </c>
      <c r="R52" s="119">
        <f t="shared" si="5"/>
        <v>0</v>
      </c>
      <c r="S52" s="217"/>
      <c r="T52" s="137">
        <f>E52-жовтень!E40</f>
        <v>0</v>
      </c>
      <c r="U52" s="145">
        <f>F52-жовтень!F40</f>
        <v>0</v>
      </c>
      <c r="V52" s="161">
        <f t="shared" si="10"/>
        <v>0</v>
      </c>
      <c r="W52" s="94"/>
      <c r="X52" s="363">
        <f t="shared" si="18"/>
        <v>0</v>
      </c>
    </row>
    <row r="53" spans="1:24" s="6" customFormat="1" ht="17.25">
      <c r="A53" s="7"/>
      <c r="B53" s="16" t="s">
        <v>12</v>
      </c>
      <c r="C53" s="70">
        <v>20000000</v>
      </c>
      <c r="D53" s="151">
        <f>D54+D55+D56+D57+D58+D60+D62+D63+D64+D65+D66+D71+D72+D76+D59+D61</f>
        <v>63295</v>
      </c>
      <c r="E53" s="151">
        <f>E54+E55+E56+E57+E58+E60+E62+E63+E64+E65+E66+E71+E72+E76+E59+E61</f>
        <v>62177.9</v>
      </c>
      <c r="F53" s="151">
        <f>F54+F55+F56+F57+F58+F60+F62+F63+F64+F65+F66+F71+F72+F76+F59+F61</f>
        <v>62689.93</v>
      </c>
      <c r="G53" s="151">
        <f>G54+G55+G56+G57+G58+G60+G62+G63+G64+G65+G66+G71+G72+G76+G59+G61</f>
        <v>512.0299999999985</v>
      </c>
      <c r="H53" s="205">
        <f aca="true" t="shared" si="21" ref="H53:H72">F53/E53</f>
        <v>1.0082349194810374</v>
      </c>
      <c r="I53" s="153">
        <f>F53-D53</f>
        <v>-605.0699999999997</v>
      </c>
      <c r="J53" s="219">
        <f aca="true" t="shared" si="22" ref="J53:J72">F53/D53</f>
        <v>0.990440477130895</v>
      </c>
      <c r="K53" s="153"/>
      <c r="L53" s="153"/>
      <c r="M53" s="153"/>
      <c r="N53" s="153">
        <v>68752.68</v>
      </c>
      <c r="O53" s="153">
        <f>D53-N53</f>
        <v>-5457.679999999993</v>
      </c>
      <c r="P53" s="219">
        <f>D53/N53</f>
        <v>0.9206186580654021</v>
      </c>
      <c r="Q53" s="287">
        <v>61087.94</v>
      </c>
      <c r="R53" s="151">
        <f t="shared" si="5"/>
        <v>1601.989999999998</v>
      </c>
      <c r="S53" s="205">
        <f>F53/Q53</f>
        <v>1.0262243251286587</v>
      </c>
      <c r="T53" s="151">
        <f>T54+T55+T56+T57+T58+T60+T62+T63+T64+T65+T66+T71+T72+T76+T59+T61</f>
        <v>11963.8</v>
      </c>
      <c r="U53" s="151">
        <f>U54+U55+U56+U57+U58+U60+U62+U63+U64+U65+U66+U71+U72+U76+U59+U61</f>
        <v>6499.11</v>
      </c>
      <c r="V53" s="151">
        <f>V54+V55+V56+V57+V58+V60+V62+V63+V64+V65+V66+V71+V72+V76</f>
        <v>-5461.610000000001</v>
      </c>
      <c r="W53" s="205">
        <f>U53/T53</f>
        <v>0.5432312475969173</v>
      </c>
      <c r="X53" s="363">
        <f t="shared" si="18"/>
        <v>0.10560566706325658</v>
      </c>
    </row>
    <row r="54" spans="1:24" s="6" customFormat="1" ht="46.5">
      <c r="A54" s="8"/>
      <c r="B54" s="225" t="s">
        <v>98</v>
      </c>
      <c r="C54" s="43">
        <v>21010301</v>
      </c>
      <c r="D54" s="150">
        <v>580</v>
      </c>
      <c r="E54" s="150">
        <v>580</v>
      </c>
      <c r="F54" s="156">
        <v>2633.96</v>
      </c>
      <c r="G54" s="150">
        <f aca="true" t="shared" si="23" ref="G54:G78">F54-E54</f>
        <v>2053.96</v>
      </c>
      <c r="H54" s="380">
        <f t="shared" si="21"/>
        <v>4.541310344827586</v>
      </c>
      <c r="I54" s="165">
        <f>F54-D54</f>
        <v>2053.96</v>
      </c>
      <c r="J54" s="218">
        <f t="shared" si="22"/>
        <v>4.541310344827586</v>
      </c>
      <c r="K54" s="165"/>
      <c r="L54" s="165"/>
      <c r="M54" s="165"/>
      <c r="N54" s="165">
        <v>551.04</v>
      </c>
      <c r="O54" s="165">
        <f>D54-N54</f>
        <v>28.960000000000036</v>
      </c>
      <c r="P54" s="218">
        <f>D54/N54</f>
        <v>1.052555168408827</v>
      </c>
      <c r="Q54" s="165">
        <v>551.04</v>
      </c>
      <c r="R54" s="165">
        <f t="shared" si="5"/>
        <v>2082.92</v>
      </c>
      <c r="S54" s="218">
        <f>F54/Q54</f>
        <v>4.779979674796748</v>
      </c>
      <c r="T54" s="157">
        <f>E54-жовтень!E42</f>
        <v>100</v>
      </c>
      <c r="U54" s="160">
        <f>F54-жовтень!F42</f>
        <v>960.5900000000001</v>
      </c>
      <c r="V54" s="161">
        <f aca="true" t="shared" si="24" ref="V54:V78">U54-T54</f>
        <v>860.5900000000001</v>
      </c>
      <c r="W54" s="218">
        <f>U54/T54</f>
        <v>9.605900000000002</v>
      </c>
      <c r="X54" s="363">
        <f t="shared" si="18"/>
        <v>3.727424506387921</v>
      </c>
    </row>
    <row r="55" spans="1:24" s="6" customFormat="1" ht="30.75">
      <c r="A55" s="8"/>
      <c r="B55" s="129" t="s">
        <v>77</v>
      </c>
      <c r="C55" s="42">
        <v>21050000</v>
      </c>
      <c r="D55" s="150">
        <v>26400</v>
      </c>
      <c r="E55" s="150">
        <v>26400</v>
      </c>
      <c r="F55" s="156">
        <v>24690.14</v>
      </c>
      <c r="G55" s="150">
        <f t="shared" si="23"/>
        <v>-1709.8600000000006</v>
      </c>
      <c r="H55" s="380">
        <f t="shared" si="21"/>
        <v>0.9352325757575758</v>
      </c>
      <c r="I55" s="165">
        <f aca="true" t="shared" si="25" ref="I55:I78">F55-D55</f>
        <v>-1709.8600000000006</v>
      </c>
      <c r="J55" s="218">
        <f t="shared" si="22"/>
        <v>0.9352325757575758</v>
      </c>
      <c r="K55" s="165"/>
      <c r="L55" s="165"/>
      <c r="M55" s="165"/>
      <c r="N55" s="165">
        <v>36136.57</v>
      </c>
      <c r="O55" s="165">
        <f aca="true" t="shared" si="26" ref="O55:O72">D55-N55</f>
        <v>-9736.57</v>
      </c>
      <c r="P55" s="218">
        <f aca="true" t="shared" si="27" ref="P55:P72">D55/N55</f>
        <v>0.7305618657221756</v>
      </c>
      <c r="Q55" s="165">
        <v>31079.13</v>
      </c>
      <c r="R55" s="165">
        <f t="shared" si="5"/>
        <v>-6388.990000000002</v>
      </c>
      <c r="S55" s="218">
        <f aca="true" t="shared" si="28" ref="S55:S78">F55/Q55</f>
        <v>0.7944282867634969</v>
      </c>
      <c r="T55" s="157">
        <f>E55-жовтень!E43</f>
        <v>1500</v>
      </c>
      <c r="U55" s="160">
        <f>F55-жовтень!F43</f>
        <v>2176.119999999999</v>
      </c>
      <c r="V55" s="161">
        <f t="shared" si="24"/>
        <v>676.119999999999</v>
      </c>
      <c r="W55" s="218">
        <f aca="true" t="shared" si="29" ref="W55:W77">U55/T55</f>
        <v>1.450746666666666</v>
      </c>
      <c r="X55" s="363">
        <f t="shared" si="18"/>
        <v>0.06386642104132123</v>
      </c>
    </row>
    <row r="56" spans="1:24" s="6" customFormat="1" ht="18">
      <c r="A56" s="8"/>
      <c r="B56" s="129" t="s">
        <v>61</v>
      </c>
      <c r="C56" s="42">
        <v>21080500</v>
      </c>
      <c r="D56" s="150">
        <v>40</v>
      </c>
      <c r="E56" s="150">
        <v>27</v>
      </c>
      <c r="F56" s="156">
        <v>143.3</v>
      </c>
      <c r="G56" s="150">
        <f t="shared" si="23"/>
        <v>116.30000000000001</v>
      </c>
      <c r="H56" s="380">
        <f t="shared" si="21"/>
        <v>5.307407407407408</v>
      </c>
      <c r="I56" s="165">
        <f t="shared" si="25"/>
        <v>103.30000000000001</v>
      </c>
      <c r="J56" s="218">
        <f t="shared" si="22"/>
        <v>3.5825000000000005</v>
      </c>
      <c r="K56" s="165"/>
      <c r="L56" s="165"/>
      <c r="M56" s="165"/>
      <c r="N56" s="165">
        <v>31.98</v>
      </c>
      <c r="O56" s="165">
        <f t="shared" si="26"/>
        <v>8.02</v>
      </c>
      <c r="P56" s="218">
        <f t="shared" si="27"/>
        <v>1.2507817385866167</v>
      </c>
      <c r="Q56" s="165">
        <v>31.98</v>
      </c>
      <c r="R56" s="165">
        <f t="shared" si="5"/>
        <v>111.32000000000001</v>
      </c>
      <c r="S56" s="218">
        <f t="shared" si="28"/>
        <v>4.480925578486555</v>
      </c>
      <c r="T56" s="157">
        <f>E56-жовтень!E44</f>
        <v>1</v>
      </c>
      <c r="U56" s="160">
        <f>F56-жовтень!F44</f>
        <v>5</v>
      </c>
      <c r="V56" s="161">
        <f t="shared" si="24"/>
        <v>4</v>
      </c>
      <c r="W56" s="218">
        <f t="shared" si="29"/>
        <v>5</v>
      </c>
      <c r="X56" s="363">
        <f t="shared" si="18"/>
        <v>3.230143839899938</v>
      </c>
    </row>
    <row r="57" spans="1:24" s="6" customFormat="1" ht="31.5">
      <c r="A57" s="8"/>
      <c r="B57" s="238" t="s">
        <v>39</v>
      </c>
      <c r="C57" s="71">
        <v>21080900</v>
      </c>
      <c r="D57" s="150">
        <v>13</v>
      </c>
      <c r="E57" s="150">
        <v>13</v>
      </c>
      <c r="F57" s="156">
        <v>12.95</v>
      </c>
      <c r="G57" s="150">
        <f t="shared" si="23"/>
        <v>-0.05000000000000071</v>
      </c>
      <c r="H57" s="380">
        <f t="shared" si="21"/>
        <v>0.9961538461538461</v>
      </c>
      <c r="I57" s="165">
        <f t="shared" si="25"/>
        <v>-0.05000000000000071</v>
      </c>
      <c r="J57" s="218">
        <f t="shared" si="22"/>
        <v>0.9961538461538461</v>
      </c>
      <c r="K57" s="165"/>
      <c r="L57" s="165"/>
      <c r="M57" s="165"/>
      <c r="N57" s="165">
        <v>0.1</v>
      </c>
      <c r="O57" s="165">
        <f t="shared" si="26"/>
        <v>12.9</v>
      </c>
      <c r="P57" s="218">
        <f t="shared" si="27"/>
        <v>130</v>
      </c>
      <c r="Q57" s="165">
        <v>0.1</v>
      </c>
      <c r="R57" s="165">
        <f t="shared" si="5"/>
        <v>12.85</v>
      </c>
      <c r="S57" s="218"/>
      <c r="T57" s="157">
        <f>E57-жовтень!E45</f>
        <v>13</v>
      </c>
      <c r="U57" s="160">
        <f>F57-жовтень!F45</f>
        <v>0</v>
      </c>
      <c r="V57" s="161">
        <f t="shared" si="24"/>
        <v>-13</v>
      </c>
      <c r="W57" s="218">
        <f t="shared" si="29"/>
        <v>0</v>
      </c>
      <c r="X57" s="363">
        <f t="shared" si="18"/>
        <v>-130</v>
      </c>
    </row>
    <row r="58" spans="1:24" s="6" customFormat="1" ht="18">
      <c r="A58" s="8"/>
      <c r="B58" s="130" t="s">
        <v>16</v>
      </c>
      <c r="C58" s="72">
        <v>21081100</v>
      </c>
      <c r="D58" s="150">
        <v>660</v>
      </c>
      <c r="E58" s="150">
        <v>638</v>
      </c>
      <c r="F58" s="156">
        <v>670.6</v>
      </c>
      <c r="G58" s="150">
        <f t="shared" si="23"/>
        <v>32.60000000000002</v>
      </c>
      <c r="H58" s="380">
        <f t="shared" si="21"/>
        <v>1.0510971786833856</v>
      </c>
      <c r="I58" s="165">
        <f t="shared" si="25"/>
        <v>10.600000000000023</v>
      </c>
      <c r="J58" s="218">
        <f t="shared" si="22"/>
        <v>1.016060606060606</v>
      </c>
      <c r="K58" s="165"/>
      <c r="L58" s="165"/>
      <c r="M58" s="165"/>
      <c r="N58" s="165">
        <v>241.07</v>
      </c>
      <c r="O58" s="165">
        <f t="shared" si="26"/>
        <v>418.93</v>
      </c>
      <c r="P58" s="218">
        <f t="shared" si="27"/>
        <v>2.7377940017422326</v>
      </c>
      <c r="Q58" s="165">
        <v>225.51</v>
      </c>
      <c r="R58" s="165">
        <f t="shared" si="5"/>
        <v>445.09000000000003</v>
      </c>
      <c r="S58" s="218">
        <f t="shared" si="28"/>
        <v>2.973704048600949</v>
      </c>
      <c r="T58" s="157">
        <f>E58-жовтень!E46</f>
        <v>422</v>
      </c>
      <c r="U58" s="160">
        <f>F58-жовтень!F46</f>
        <v>27.519999999999982</v>
      </c>
      <c r="V58" s="161">
        <f t="shared" si="24"/>
        <v>-394.48</v>
      </c>
      <c r="W58" s="218">
        <f t="shared" si="29"/>
        <v>0.06521327014218005</v>
      </c>
      <c r="X58" s="363">
        <f t="shared" si="18"/>
        <v>0.23591004685871653</v>
      </c>
    </row>
    <row r="59" spans="1:24" s="6" customFormat="1" ht="46.5">
      <c r="A59" s="8"/>
      <c r="B59" s="130" t="s">
        <v>80</v>
      </c>
      <c r="C59" s="72">
        <v>21081500</v>
      </c>
      <c r="D59" s="150">
        <v>97.5</v>
      </c>
      <c r="E59" s="150">
        <v>88.4</v>
      </c>
      <c r="F59" s="156">
        <v>105.15</v>
      </c>
      <c r="G59" s="150">
        <f t="shared" si="23"/>
        <v>16.75</v>
      </c>
      <c r="H59" s="380">
        <f t="shared" si="21"/>
        <v>1.1894796380090498</v>
      </c>
      <c r="I59" s="165">
        <f t="shared" si="25"/>
        <v>7.650000000000006</v>
      </c>
      <c r="J59" s="218">
        <f t="shared" si="22"/>
        <v>1.0784615384615386</v>
      </c>
      <c r="K59" s="165"/>
      <c r="L59" s="165"/>
      <c r="M59" s="165"/>
      <c r="N59" s="165">
        <v>86.37</v>
      </c>
      <c r="O59" s="165">
        <f t="shared" si="26"/>
        <v>11.129999999999995</v>
      </c>
      <c r="P59" s="218">
        <f t="shared" si="27"/>
        <v>1.1288641889544981</v>
      </c>
      <c r="Q59" s="165">
        <v>85.37</v>
      </c>
      <c r="R59" s="165">
        <f t="shared" si="5"/>
        <v>19.78</v>
      </c>
      <c r="S59" s="218">
        <f t="shared" si="28"/>
        <v>1.2316973175588615</v>
      </c>
      <c r="T59" s="157">
        <f>E59-жовтень!E47</f>
        <v>6.800000000000011</v>
      </c>
      <c r="U59" s="160">
        <f>F59-жовтень!F47</f>
        <v>26.72</v>
      </c>
      <c r="V59" s="161">
        <f t="shared" si="24"/>
        <v>19.919999999999987</v>
      </c>
      <c r="W59" s="218">
        <f t="shared" si="29"/>
        <v>3.9294117647058755</v>
      </c>
      <c r="X59" s="363">
        <f t="shared" si="18"/>
        <v>0.10283312860436333</v>
      </c>
    </row>
    <row r="60" spans="1:24" s="6" customFormat="1" ht="30.75">
      <c r="A60" s="8"/>
      <c r="B60" s="349" t="s">
        <v>105</v>
      </c>
      <c r="C60" s="49">
        <v>22010300</v>
      </c>
      <c r="D60" s="150">
        <v>980</v>
      </c>
      <c r="E60" s="150">
        <v>960</v>
      </c>
      <c r="F60" s="156">
        <v>1097.15</v>
      </c>
      <c r="G60" s="150">
        <f t="shared" si="23"/>
        <v>137.1500000000001</v>
      </c>
      <c r="H60" s="380">
        <f t="shared" si="21"/>
        <v>1.1428645833333335</v>
      </c>
      <c r="I60" s="165">
        <f t="shared" si="25"/>
        <v>117.15000000000009</v>
      </c>
      <c r="J60" s="218">
        <f t="shared" si="22"/>
        <v>1.1195408163265308</v>
      </c>
      <c r="K60" s="165"/>
      <c r="L60" s="165"/>
      <c r="M60" s="165"/>
      <c r="N60" s="165">
        <v>791.33</v>
      </c>
      <c r="O60" s="165">
        <f t="shared" si="26"/>
        <v>188.66999999999996</v>
      </c>
      <c r="P60" s="218">
        <f t="shared" si="27"/>
        <v>1.238421391834001</v>
      </c>
      <c r="Q60" s="165">
        <v>629.78</v>
      </c>
      <c r="R60" s="165">
        <f t="shared" si="5"/>
        <v>467.3700000000001</v>
      </c>
      <c r="S60" s="218">
        <f t="shared" si="28"/>
        <v>1.7421162945790596</v>
      </c>
      <c r="T60" s="157">
        <f>E60-жовтень!E48</f>
        <v>260</v>
      </c>
      <c r="U60" s="160">
        <f>F60-жовтень!F48</f>
        <v>89.21000000000004</v>
      </c>
      <c r="V60" s="161">
        <f t="shared" si="24"/>
        <v>-170.78999999999996</v>
      </c>
      <c r="W60" s="218">
        <f t="shared" si="29"/>
        <v>0.34311538461538477</v>
      </c>
      <c r="X60" s="363">
        <f t="shared" si="18"/>
        <v>0.5036949027450586</v>
      </c>
    </row>
    <row r="61" spans="1:24" s="6" customFormat="1" ht="18">
      <c r="A61" s="8"/>
      <c r="B61" s="130" t="s">
        <v>223</v>
      </c>
      <c r="C61" s="49">
        <v>22010200</v>
      </c>
      <c r="D61" s="150">
        <v>23</v>
      </c>
      <c r="E61" s="150">
        <v>23</v>
      </c>
      <c r="F61" s="156">
        <v>23.38</v>
      </c>
      <c r="G61" s="150">
        <f t="shared" si="23"/>
        <v>0.379999999999999</v>
      </c>
      <c r="H61" s="380">
        <f t="shared" si="21"/>
        <v>1.0165217391304346</v>
      </c>
      <c r="I61" s="165">
        <f t="shared" si="25"/>
        <v>0.379999999999999</v>
      </c>
      <c r="J61" s="218">
        <f t="shared" si="22"/>
        <v>1.0165217391304346</v>
      </c>
      <c r="K61" s="165"/>
      <c r="L61" s="165"/>
      <c r="M61" s="165"/>
      <c r="N61" s="165">
        <v>0</v>
      </c>
      <c r="O61" s="165">
        <f t="shared" si="26"/>
        <v>23</v>
      </c>
      <c r="P61" s="218" t="e">
        <f t="shared" si="27"/>
        <v>#DIV/0!</v>
      </c>
      <c r="Q61" s="165"/>
      <c r="R61" s="165">
        <f t="shared" si="5"/>
        <v>23.38</v>
      </c>
      <c r="S61" s="218"/>
      <c r="T61" s="157">
        <f>E61-жовтень!E49</f>
        <v>23</v>
      </c>
      <c r="U61" s="160">
        <f>F61-жовтень!F49</f>
        <v>0</v>
      </c>
      <c r="V61" s="161">
        <f t="shared" si="24"/>
        <v>-23</v>
      </c>
      <c r="W61" s="218">
        <f t="shared" si="29"/>
        <v>0</v>
      </c>
      <c r="X61" s="363" t="e">
        <f t="shared" si="18"/>
        <v>#DIV/0!</v>
      </c>
    </row>
    <row r="62" spans="1:24" s="6" customFormat="1" ht="18">
      <c r="A62" s="8"/>
      <c r="B62" s="33" t="s">
        <v>78</v>
      </c>
      <c r="C62" s="72">
        <v>22012500</v>
      </c>
      <c r="D62" s="150">
        <v>19000</v>
      </c>
      <c r="E62" s="150">
        <v>18300</v>
      </c>
      <c r="F62" s="156">
        <v>18441.35</v>
      </c>
      <c r="G62" s="150">
        <f t="shared" si="23"/>
        <v>141.34999999999854</v>
      </c>
      <c r="H62" s="380">
        <f t="shared" si="21"/>
        <v>1.007724043715847</v>
      </c>
      <c r="I62" s="165">
        <f t="shared" si="25"/>
        <v>-558.6500000000015</v>
      </c>
      <c r="J62" s="218">
        <f t="shared" si="22"/>
        <v>0.9705973684210526</v>
      </c>
      <c r="K62" s="165"/>
      <c r="L62" s="165"/>
      <c r="M62" s="165"/>
      <c r="N62" s="165">
        <v>11422.5</v>
      </c>
      <c r="O62" s="165">
        <f t="shared" si="26"/>
        <v>7577.5</v>
      </c>
      <c r="P62" s="218">
        <f t="shared" si="27"/>
        <v>1.663383672576056</v>
      </c>
      <c r="Q62" s="165">
        <v>10239.21</v>
      </c>
      <c r="R62" s="165">
        <f t="shared" si="5"/>
        <v>8202.14</v>
      </c>
      <c r="S62" s="218">
        <f t="shared" si="28"/>
        <v>1.8010520342878016</v>
      </c>
      <c r="T62" s="157">
        <f>E62-жовтень!E50</f>
        <v>8660</v>
      </c>
      <c r="U62" s="160">
        <f>F62-жовтень!F50</f>
        <v>1940.2999999999993</v>
      </c>
      <c r="V62" s="161">
        <f t="shared" si="24"/>
        <v>-6719.700000000001</v>
      </c>
      <c r="W62" s="218">
        <f t="shared" si="29"/>
        <v>0.22405311778290984</v>
      </c>
      <c r="X62" s="363">
        <f t="shared" si="18"/>
        <v>0.13766836171174557</v>
      </c>
    </row>
    <row r="63" spans="1:24" s="6" customFormat="1" ht="31.5">
      <c r="A63" s="8"/>
      <c r="B63" s="355" t="s">
        <v>99</v>
      </c>
      <c r="C63" s="72">
        <v>22012600</v>
      </c>
      <c r="D63" s="150">
        <v>530</v>
      </c>
      <c r="E63" s="150">
        <v>505</v>
      </c>
      <c r="F63" s="156">
        <v>613.18</v>
      </c>
      <c r="G63" s="150">
        <f t="shared" si="23"/>
        <v>108.17999999999995</v>
      </c>
      <c r="H63" s="380">
        <f t="shared" si="21"/>
        <v>1.2142178217821782</v>
      </c>
      <c r="I63" s="165">
        <f t="shared" si="25"/>
        <v>83.17999999999995</v>
      </c>
      <c r="J63" s="218">
        <f t="shared" si="22"/>
        <v>1.156943396226415</v>
      </c>
      <c r="K63" s="165"/>
      <c r="L63" s="165"/>
      <c r="M63" s="165"/>
      <c r="N63" s="165">
        <v>323.25</v>
      </c>
      <c r="O63" s="165">
        <f t="shared" si="26"/>
        <v>206.75</v>
      </c>
      <c r="P63" s="218">
        <f t="shared" si="27"/>
        <v>1.639597834493426</v>
      </c>
      <c r="Q63" s="165">
        <v>282.65</v>
      </c>
      <c r="R63" s="165">
        <f t="shared" si="5"/>
        <v>330.53</v>
      </c>
      <c r="S63" s="218">
        <f t="shared" si="28"/>
        <v>2.1693967804705467</v>
      </c>
      <c r="T63" s="157">
        <f>E63-жовтень!E51</f>
        <v>245</v>
      </c>
      <c r="U63" s="160">
        <f>F63-жовтень!F51</f>
        <v>82.21999999999991</v>
      </c>
      <c r="V63" s="161">
        <f t="shared" si="24"/>
        <v>-162.7800000000001</v>
      </c>
      <c r="W63" s="218">
        <f t="shared" si="29"/>
        <v>0.3355918367346935</v>
      </c>
      <c r="X63" s="363">
        <f t="shared" si="18"/>
        <v>0.5297989459771206</v>
      </c>
    </row>
    <row r="64" spans="1:24" s="6" customFormat="1" ht="31.5">
      <c r="A64" s="8"/>
      <c r="B64" s="355" t="s">
        <v>106</v>
      </c>
      <c r="C64" s="72">
        <v>22012900</v>
      </c>
      <c r="D64" s="150">
        <v>20</v>
      </c>
      <c r="E64" s="150">
        <v>19</v>
      </c>
      <c r="F64" s="156">
        <v>38.08</v>
      </c>
      <c r="G64" s="150">
        <f t="shared" si="23"/>
        <v>19.08</v>
      </c>
      <c r="H64" s="380">
        <f t="shared" si="21"/>
        <v>2.004210526315789</v>
      </c>
      <c r="I64" s="165">
        <f t="shared" si="25"/>
        <v>18.08</v>
      </c>
      <c r="J64" s="218">
        <f t="shared" si="22"/>
        <v>1.904</v>
      </c>
      <c r="K64" s="165"/>
      <c r="L64" s="165"/>
      <c r="M64" s="165"/>
      <c r="N64" s="165">
        <v>22.36</v>
      </c>
      <c r="O64" s="165">
        <f t="shared" si="26"/>
        <v>-2.3599999999999994</v>
      </c>
      <c r="P64" s="218">
        <f t="shared" si="27"/>
        <v>0.8944543828264758</v>
      </c>
      <c r="Q64" s="165">
        <v>19.16</v>
      </c>
      <c r="R64" s="165">
        <f t="shared" si="5"/>
        <v>18.919999999999998</v>
      </c>
      <c r="S64" s="218">
        <f t="shared" si="28"/>
        <v>1.987473903966597</v>
      </c>
      <c r="T64" s="157">
        <f>E64-жовтень!E52</f>
        <v>1</v>
      </c>
      <c r="U64" s="160">
        <f>F64-жовтень!F52</f>
        <v>7.199999999999999</v>
      </c>
      <c r="V64" s="161">
        <f t="shared" si="24"/>
        <v>6.199999999999999</v>
      </c>
      <c r="W64" s="218">
        <f t="shared" si="29"/>
        <v>7.199999999999999</v>
      </c>
      <c r="X64" s="363">
        <f t="shared" si="18"/>
        <v>1.0930195211401212</v>
      </c>
    </row>
    <row r="65" spans="1:24" s="6" customFormat="1" ht="30.75">
      <c r="A65" s="8"/>
      <c r="B65" s="130" t="s">
        <v>14</v>
      </c>
      <c r="C65" s="49">
        <v>22080400</v>
      </c>
      <c r="D65" s="150">
        <v>6452</v>
      </c>
      <c r="E65" s="150">
        <v>6447</v>
      </c>
      <c r="F65" s="156">
        <v>5925.6</v>
      </c>
      <c r="G65" s="150">
        <f t="shared" si="23"/>
        <v>-521.3999999999996</v>
      </c>
      <c r="H65" s="380">
        <f t="shared" si="21"/>
        <v>0.9191251744997674</v>
      </c>
      <c r="I65" s="165">
        <f t="shared" si="25"/>
        <v>-526.3999999999996</v>
      </c>
      <c r="J65" s="218">
        <f t="shared" si="22"/>
        <v>0.9184128952262864</v>
      </c>
      <c r="K65" s="165"/>
      <c r="L65" s="165"/>
      <c r="M65" s="165"/>
      <c r="N65" s="165">
        <v>7230.43</v>
      </c>
      <c r="O65" s="165">
        <f t="shared" si="26"/>
        <v>-778.4300000000003</v>
      </c>
      <c r="P65" s="218">
        <f t="shared" si="27"/>
        <v>0.8923397363642273</v>
      </c>
      <c r="Q65" s="165">
        <v>6734.69</v>
      </c>
      <c r="R65" s="165">
        <f t="shared" si="5"/>
        <v>-809.0899999999992</v>
      </c>
      <c r="S65" s="218">
        <f t="shared" si="28"/>
        <v>0.8798623247692174</v>
      </c>
      <c r="T65" s="157">
        <f>E65-жовтень!E53</f>
        <v>382</v>
      </c>
      <c r="U65" s="160">
        <f>F65-жовтень!F53</f>
        <v>517.4100000000008</v>
      </c>
      <c r="V65" s="161">
        <f t="shared" si="24"/>
        <v>135.41000000000076</v>
      </c>
      <c r="W65" s="218">
        <f t="shared" si="29"/>
        <v>1.354476439790578</v>
      </c>
      <c r="X65" s="363">
        <f t="shared" si="18"/>
        <v>-0.012477411595009813</v>
      </c>
    </row>
    <row r="66" spans="1:24" s="6" customFormat="1" ht="19.5" customHeight="1">
      <c r="A66" s="8"/>
      <c r="B66" s="130" t="s">
        <v>15</v>
      </c>
      <c r="C66" s="43">
        <v>22090000</v>
      </c>
      <c r="D66" s="150">
        <v>987</v>
      </c>
      <c r="E66" s="150">
        <v>985</v>
      </c>
      <c r="F66" s="156">
        <v>785.58</v>
      </c>
      <c r="G66" s="150">
        <f t="shared" si="23"/>
        <v>-199.41999999999996</v>
      </c>
      <c r="H66" s="380">
        <f t="shared" si="21"/>
        <v>0.7975431472081219</v>
      </c>
      <c r="I66" s="165">
        <f t="shared" si="25"/>
        <v>-201.41999999999996</v>
      </c>
      <c r="J66" s="218">
        <f t="shared" si="22"/>
        <v>0.7959270516717326</v>
      </c>
      <c r="K66" s="165"/>
      <c r="L66" s="165"/>
      <c r="M66" s="165"/>
      <c r="N66" s="165">
        <v>5161.34</v>
      </c>
      <c r="O66" s="165">
        <f t="shared" si="26"/>
        <v>-4174.34</v>
      </c>
      <c r="P66" s="218">
        <f t="shared" si="27"/>
        <v>0.19122940941693437</v>
      </c>
      <c r="Q66" s="165">
        <v>5102.74</v>
      </c>
      <c r="R66" s="165">
        <f t="shared" si="5"/>
        <v>-4317.16</v>
      </c>
      <c r="S66" s="218">
        <f t="shared" si="28"/>
        <v>0.1539525823381164</v>
      </c>
      <c r="T66" s="157">
        <f>E66-жовтень!E54</f>
        <v>0</v>
      </c>
      <c r="U66" s="160">
        <f>F66-жовтень!F54</f>
        <v>78.85000000000002</v>
      </c>
      <c r="V66" s="161">
        <f t="shared" si="24"/>
        <v>78.85000000000002</v>
      </c>
      <c r="W66" s="218" t="e">
        <f t="shared" si="29"/>
        <v>#DIV/0!</v>
      </c>
      <c r="X66" s="363">
        <f t="shared" si="18"/>
        <v>-0.037276827078817965</v>
      </c>
    </row>
    <row r="67" spans="1:24" s="6" customFormat="1" ht="15" hidden="1">
      <c r="A67" s="8"/>
      <c r="B67" s="361" t="s">
        <v>97</v>
      </c>
      <c r="C67" s="123">
        <v>22090100</v>
      </c>
      <c r="D67" s="103">
        <v>820</v>
      </c>
      <c r="E67" s="103">
        <v>820</v>
      </c>
      <c r="F67" s="140">
        <v>661.76</v>
      </c>
      <c r="G67" s="103">
        <f t="shared" si="23"/>
        <v>-158.24</v>
      </c>
      <c r="H67" s="376">
        <f t="shared" si="21"/>
        <v>0.8070243902439024</v>
      </c>
      <c r="I67" s="104">
        <f t="shared" si="25"/>
        <v>-158.24</v>
      </c>
      <c r="J67" s="109">
        <f t="shared" si="22"/>
        <v>0.8070243902439024</v>
      </c>
      <c r="K67" s="104"/>
      <c r="L67" s="104"/>
      <c r="M67" s="104"/>
      <c r="N67" s="104">
        <v>835.21</v>
      </c>
      <c r="O67" s="104">
        <f t="shared" si="26"/>
        <v>-15.210000000000036</v>
      </c>
      <c r="P67" s="109">
        <f t="shared" si="27"/>
        <v>0.9817890111468971</v>
      </c>
      <c r="Q67" s="104">
        <v>784.76</v>
      </c>
      <c r="R67" s="370">
        <f t="shared" si="5"/>
        <v>-123</v>
      </c>
      <c r="S67" s="371">
        <f t="shared" si="28"/>
        <v>0.8432641826800551</v>
      </c>
      <c r="T67" s="105">
        <f>E67-жовтень!E55</f>
        <v>0</v>
      </c>
      <c r="U67" s="144">
        <f>F67-жовтень!F55</f>
        <v>66.60000000000002</v>
      </c>
      <c r="V67" s="106">
        <f t="shared" si="24"/>
        <v>66.60000000000002</v>
      </c>
      <c r="W67" s="109" t="e">
        <f t="shared" si="29"/>
        <v>#DIV/0!</v>
      </c>
      <c r="X67" s="363">
        <f t="shared" si="18"/>
        <v>-0.138524828466842</v>
      </c>
    </row>
    <row r="68" spans="1:24" s="6" customFormat="1" ht="15" hidden="1">
      <c r="A68" s="8"/>
      <c r="B68" s="361" t="s">
        <v>94</v>
      </c>
      <c r="C68" s="123">
        <v>22090200</v>
      </c>
      <c r="D68" s="103">
        <v>1</v>
      </c>
      <c r="E68" s="103">
        <v>0</v>
      </c>
      <c r="F68" s="140">
        <v>0.18</v>
      </c>
      <c r="G68" s="103">
        <f t="shared" si="23"/>
        <v>0.18</v>
      </c>
      <c r="H68" s="376" t="e">
        <f t="shared" si="21"/>
        <v>#DIV/0!</v>
      </c>
      <c r="I68" s="104">
        <f t="shared" si="25"/>
        <v>-0.8200000000000001</v>
      </c>
      <c r="J68" s="109">
        <f t="shared" si="22"/>
        <v>0.18</v>
      </c>
      <c r="K68" s="104"/>
      <c r="L68" s="104"/>
      <c r="M68" s="104"/>
      <c r="N68" s="104">
        <v>0.38</v>
      </c>
      <c r="O68" s="104">
        <f t="shared" si="26"/>
        <v>0.62</v>
      </c>
      <c r="P68" s="109">
        <f t="shared" si="27"/>
        <v>2.6315789473684212</v>
      </c>
      <c r="Q68" s="104">
        <v>0.29</v>
      </c>
      <c r="R68" s="370">
        <f t="shared" si="5"/>
        <v>-0.10999999999999999</v>
      </c>
      <c r="S68" s="371">
        <f t="shared" si="28"/>
        <v>0.6206896551724138</v>
      </c>
      <c r="T68" s="105">
        <f>E68-жовтень!E56</f>
        <v>0</v>
      </c>
      <c r="U68" s="144">
        <f>F68-жовтень!F56</f>
        <v>0.009999999999999981</v>
      </c>
      <c r="V68" s="106">
        <f t="shared" si="24"/>
        <v>0.009999999999999981</v>
      </c>
      <c r="W68" s="109"/>
      <c r="X68" s="363">
        <f t="shared" si="18"/>
        <v>-2.0108892921960075</v>
      </c>
    </row>
    <row r="69" spans="1:24" s="6" customFormat="1" ht="15" hidden="1">
      <c r="A69" s="8"/>
      <c r="B69" s="361" t="s">
        <v>95</v>
      </c>
      <c r="C69" s="123">
        <v>22090300</v>
      </c>
      <c r="D69" s="103">
        <v>1</v>
      </c>
      <c r="E69" s="103">
        <v>0</v>
      </c>
      <c r="F69" s="140">
        <v>0</v>
      </c>
      <c r="G69" s="103">
        <f t="shared" si="23"/>
        <v>0</v>
      </c>
      <c r="H69" s="376" t="e">
        <f t="shared" si="21"/>
        <v>#DIV/0!</v>
      </c>
      <c r="I69" s="104">
        <f t="shared" si="25"/>
        <v>-1</v>
      </c>
      <c r="J69" s="109">
        <f t="shared" si="22"/>
        <v>0</v>
      </c>
      <c r="K69" s="104"/>
      <c r="L69" s="104"/>
      <c r="M69" s="104"/>
      <c r="N69" s="104">
        <v>0.02</v>
      </c>
      <c r="O69" s="104">
        <f t="shared" si="26"/>
        <v>0.98</v>
      </c>
      <c r="P69" s="109">
        <f t="shared" si="27"/>
        <v>50</v>
      </c>
      <c r="Q69" s="104">
        <v>0.02</v>
      </c>
      <c r="R69" s="370">
        <f t="shared" si="5"/>
        <v>-0.02</v>
      </c>
      <c r="S69" s="371">
        <f t="shared" si="28"/>
        <v>0</v>
      </c>
      <c r="T69" s="105">
        <f>E69-жовтень!E57</f>
        <v>0</v>
      </c>
      <c r="U69" s="144">
        <f>F69-жовтень!F57</f>
        <v>0</v>
      </c>
      <c r="V69" s="106">
        <f t="shared" si="24"/>
        <v>0</v>
      </c>
      <c r="W69" s="109"/>
      <c r="X69" s="363">
        <f t="shared" si="18"/>
        <v>-50</v>
      </c>
    </row>
    <row r="70" spans="1:24" s="6" customFormat="1" ht="15" hidden="1">
      <c r="A70" s="8"/>
      <c r="B70" s="361" t="s">
        <v>96</v>
      </c>
      <c r="C70" s="123">
        <v>22090400</v>
      </c>
      <c r="D70" s="103">
        <v>165</v>
      </c>
      <c r="E70" s="103">
        <v>165</v>
      </c>
      <c r="F70" s="140">
        <v>123.64</v>
      </c>
      <c r="G70" s="103">
        <f t="shared" si="23"/>
        <v>-41.36</v>
      </c>
      <c r="H70" s="376">
        <f t="shared" si="21"/>
        <v>0.7493333333333333</v>
      </c>
      <c r="I70" s="104">
        <f t="shared" si="25"/>
        <v>-41.36</v>
      </c>
      <c r="J70" s="109">
        <f t="shared" si="22"/>
        <v>0.7493333333333333</v>
      </c>
      <c r="K70" s="104"/>
      <c r="L70" s="104"/>
      <c r="M70" s="104"/>
      <c r="N70" s="104">
        <v>4325.74</v>
      </c>
      <c r="O70" s="104">
        <f t="shared" si="26"/>
        <v>-4160.74</v>
      </c>
      <c r="P70" s="109">
        <f t="shared" si="27"/>
        <v>0.03814376268569077</v>
      </c>
      <c r="Q70" s="104">
        <v>4317.57</v>
      </c>
      <c r="R70" s="370">
        <f t="shared" si="5"/>
        <v>-4193.929999999999</v>
      </c>
      <c r="S70" s="371">
        <f t="shared" si="28"/>
        <v>0.028636478389464447</v>
      </c>
      <c r="T70" s="105">
        <f>E70-жовтень!E58</f>
        <v>0</v>
      </c>
      <c r="U70" s="144">
        <f>F70-жовтень!F58</f>
        <v>12.239999999999995</v>
      </c>
      <c r="V70" s="106">
        <f t="shared" si="24"/>
        <v>12.239999999999995</v>
      </c>
      <c r="W70" s="109" t="e">
        <f t="shared" si="29"/>
        <v>#DIV/0!</v>
      </c>
      <c r="X70" s="363">
        <f t="shared" si="18"/>
        <v>-0.009507284296226326</v>
      </c>
    </row>
    <row r="71" spans="1:24" s="6" customFormat="1" ht="46.5">
      <c r="A71" s="8"/>
      <c r="B71" s="130" t="s">
        <v>17</v>
      </c>
      <c r="C71" s="11" t="s">
        <v>18</v>
      </c>
      <c r="D71" s="150">
        <v>2.5</v>
      </c>
      <c r="E71" s="150">
        <v>2.5</v>
      </c>
      <c r="F71" s="156">
        <v>2.04</v>
      </c>
      <c r="G71" s="150">
        <f t="shared" si="23"/>
        <v>-0.45999999999999996</v>
      </c>
      <c r="H71" s="380">
        <f t="shared" si="21"/>
        <v>0.8160000000000001</v>
      </c>
      <c r="I71" s="165">
        <f t="shared" si="25"/>
        <v>-0.45999999999999996</v>
      </c>
      <c r="J71" s="218">
        <f t="shared" si="22"/>
        <v>0.8160000000000001</v>
      </c>
      <c r="K71" s="165"/>
      <c r="L71" s="165"/>
      <c r="M71" s="165"/>
      <c r="N71" s="165">
        <v>2.46</v>
      </c>
      <c r="O71" s="165">
        <f t="shared" si="26"/>
        <v>0.040000000000000036</v>
      </c>
      <c r="P71" s="218">
        <f t="shared" si="27"/>
        <v>1.016260162601626</v>
      </c>
      <c r="Q71" s="165">
        <v>2.46</v>
      </c>
      <c r="R71" s="165">
        <f t="shared" si="5"/>
        <v>-0.41999999999999993</v>
      </c>
      <c r="S71" s="218">
        <f t="shared" si="28"/>
        <v>0.8292682926829269</v>
      </c>
      <c r="T71" s="157">
        <f>E71-жовтень!E59</f>
        <v>0</v>
      </c>
      <c r="U71" s="160">
        <f>F71-жовтень!F59</f>
        <v>0</v>
      </c>
      <c r="V71" s="161">
        <f t="shared" si="24"/>
        <v>0</v>
      </c>
      <c r="W71" s="218"/>
      <c r="X71" s="363">
        <f t="shared" si="18"/>
        <v>-0.1869918699186992</v>
      </c>
    </row>
    <row r="72" spans="1:24" s="6" customFormat="1" ht="15.75" customHeight="1">
      <c r="A72" s="8"/>
      <c r="B72" s="131" t="s">
        <v>13</v>
      </c>
      <c r="C72" s="11" t="s">
        <v>19</v>
      </c>
      <c r="D72" s="150">
        <v>7350</v>
      </c>
      <c r="E72" s="150">
        <v>7100</v>
      </c>
      <c r="F72" s="156">
        <v>7365.29</v>
      </c>
      <c r="G72" s="150">
        <f t="shared" si="23"/>
        <v>265.28999999999996</v>
      </c>
      <c r="H72" s="380">
        <f t="shared" si="21"/>
        <v>1.0373647887323945</v>
      </c>
      <c r="I72" s="165">
        <f t="shared" si="25"/>
        <v>15.289999999999964</v>
      </c>
      <c r="J72" s="218">
        <f t="shared" si="22"/>
        <v>1.0020802721088435</v>
      </c>
      <c r="K72" s="165"/>
      <c r="L72" s="165"/>
      <c r="M72" s="165"/>
      <c r="N72" s="165">
        <v>6525.16</v>
      </c>
      <c r="O72" s="165">
        <f t="shared" si="26"/>
        <v>824.8400000000001</v>
      </c>
      <c r="P72" s="218">
        <f t="shared" si="27"/>
        <v>1.1264091608481632</v>
      </c>
      <c r="Q72" s="165">
        <v>5945.02</v>
      </c>
      <c r="R72" s="165">
        <f t="shared" si="5"/>
        <v>1420.2699999999995</v>
      </c>
      <c r="S72" s="218">
        <f t="shared" si="28"/>
        <v>1.2389007942782362</v>
      </c>
      <c r="T72" s="157">
        <f>E72-жовтень!E60</f>
        <v>350</v>
      </c>
      <c r="U72" s="160">
        <f>F72-жовтень!F60</f>
        <v>565.3699999999999</v>
      </c>
      <c r="V72" s="161">
        <f t="shared" si="24"/>
        <v>215.3699999999999</v>
      </c>
      <c r="W72" s="218">
        <f t="shared" si="29"/>
        <v>1.6153428571428567</v>
      </c>
      <c r="X72" s="363">
        <f t="shared" si="18"/>
        <v>0.11249163343007296</v>
      </c>
    </row>
    <row r="73" spans="1:24" s="6" customFormat="1" ht="18" hidden="1">
      <c r="A73" s="8"/>
      <c r="B73" s="12" t="s">
        <v>22</v>
      </c>
      <c r="C73" s="61" t="s">
        <v>23</v>
      </c>
      <c r="D73" s="31">
        <v>0</v>
      </c>
      <c r="E73" s="31">
        <v>0</v>
      </c>
      <c r="F73" s="139">
        <v>0</v>
      </c>
      <c r="G73" s="150">
        <f t="shared" si="23"/>
        <v>0</v>
      </c>
      <c r="H73" s="380" t="e">
        <f>F73/E73*100</f>
        <v>#DIV/0!</v>
      </c>
      <c r="I73" s="165">
        <f t="shared" si="25"/>
        <v>0</v>
      </c>
      <c r="J73" s="218" t="e">
        <f>F73/D73*100</f>
        <v>#DIV/0!</v>
      </c>
      <c r="K73" s="165"/>
      <c r="L73" s="165"/>
      <c r="M73" s="165"/>
      <c r="N73" s="165"/>
      <c r="O73" s="165"/>
      <c r="P73" s="218"/>
      <c r="Q73" s="165">
        <v>0</v>
      </c>
      <c r="R73" s="165">
        <f t="shared" si="5"/>
        <v>0</v>
      </c>
      <c r="S73" s="218" t="e">
        <f t="shared" si="28"/>
        <v>#DIV/0!</v>
      </c>
      <c r="T73" s="157">
        <f>E73-серпень!E61</f>
        <v>0</v>
      </c>
      <c r="U73" s="160">
        <f>F73-серпень!F61</f>
        <v>0</v>
      </c>
      <c r="V73" s="161">
        <f t="shared" si="24"/>
        <v>0</v>
      </c>
      <c r="W73" s="218" t="e">
        <f t="shared" si="29"/>
        <v>#DIV/0!</v>
      </c>
      <c r="X73" s="363" t="e">
        <f t="shared" si="18"/>
        <v>#DIV/0!</v>
      </c>
    </row>
    <row r="74" spans="1:24" s="6" customFormat="1" ht="30.75">
      <c r="A74" s="8"/>
      <c r="B74" s="50" t="s">
        <v>42</v>
      </c>
      <c r="C74" s="61"/>
      <c r="D74" s="103"/>
      <c r="E74" s="103"/>
      <c r="F74" s="201">
        <v>1948.88</v>
      </c>
      <c r="G74" s="253"/>
      <c r="H74" s="380"/>
      <c r="I74" s="254"/>
      <c r="J74" s="305"/>
      <c r="K74" s="254"/>
      <c r="L74" s="254"/>
      <c r="M74" s="254"/>
      <c r="N74" s="254">
        <v>1411.18</v>
      </c>
      <c r="O74" s="165"/>
      <c r="P74" s="218"/>
      <c r="Q74" s="166">
        <v>1256.04</v>
      </c>
      <c r="R74" s="254"/>
      <c r="S74" s="305">
        <f t="shared" si="28"/>
        <v>1.5516066367313144</v>
      </c>
      <c r="T74" s="157"/>
      <c r="U74" s="179">
        <f>F74-жовтень!F62</f>
        <v>175.67000000000007</v>
      </c>
      <c r="V74" s="166">
        <f t="shared" si="24"/>
        <v>175.67000000000007</v>
      </c>
      <c r="W74" s="218"/>
      <c r="X74" s="363"/>
    </row>
    <row r="75" spans="1:24" s="6" customFormat="1" ht="18" hidden="1">
      <c r="A75" s="8"/>
      <c r="B75" s="131" t="s">
        <v>20</v>
      </c>
      <c r="C75" s="128" t="s">
        <v>21</v>
      </c>
      <c r="D75" s="34">
        <v>0</v>
      </c>
      <c r="E75" s="34">
        <v>0</v>
      </c>
      <c r="F75" s="141">
        <v>0</v>
      </c>
      <c r="G75" s="150">
        <f t="shared" si="23"/>
        <v>0</v>
      </c>
      <c r="H75" s="380" t="e">
        <f>F75/E75*100</f>
        <v>#DIV/0!</v>
      </c>
      <c r="I75" s="165">
        <f t="shared" si="25"/>
        <v>0</v>
      </c>
      <c r="J75" s="218" t="e">
        <f>F75/D75*100</f>
        <v>#DIV/0!</v>
      </c>
      <c r="K75" s="165"/>
      <c r="L75" s="165"/>
      <c r="M75" s="165"/>
      <c r="N75" s="165"/>
      <c r="O75" s="165"/>
      <c r="P75" s="218"/>
      <c r="Q75" s="166">
        <v>0</v>
      </c>
      <c r="R75" s="165">
        <f t="shared" si="5"/>
        <v>0</v>
      </c>
      <c r="S75" s="218" t="e">
        <f t="shared" si="28"/>
        <v>#DIV/0!</v>
      </c>
      <c r="T75" s="157">
        <f>E75-серпень!E63</f>
        <v>0</v>
      </c>
      <c r="U75" s="160">
        <f>F75-серпень!F63</f>
        <v>0</v>
      </c>
      <c r="V75" s="161">
        <f t="shared" si="24"/>
        <v>0</v>
      </c>
      <c r="W75" s="218" t="e">
        <f t="shared" si="29"/>
        <v>#DIV/0!</v>
      </c>
      <c r="X75" s="363" t="e">
        <f t="shared" si="18"/>
        <v>#DIV/0!</v>
      </c>
    </row>
    <row r="76" spans="1:24" s="6" customFormat="1" ht="44.25" customHeight="1">
      <c r="A76" s="8"/>
      <c r="B76" s="131" t="s">
        <v>43</v>
      </c>
      <c r="C76" s="43">
        <v>24061900</v>
      </c>
      <c r="D76" s="150">
        <v>160</v>
      </c>
      <c r="E76" s="150">
        <v>90</v>
      </c>
      <c r="F76" s="156">
        <v>142.18</v>
      </c>
      <c r="G76" s="150">
        <f t="shared" si="23"/>
        <v>52.18000000000001</v>
      </c>
      <c r="H76" s="380">
        <f>F76/E76</f>
        <v>1.579777777777778</v>
      </c>
      <c r="I76" s="165">
        <f t="shared" si="25"/>
        <v>-17.819999999999993</v>
      </c>
      <c r="J76" s="218">
        <f>F76/D76</f>
        <v>0.888625</v>
      </c>
      <c r="K76" s="165"/>
      <c r="L76" s="165"/>
      <c r="M76" s="165"/>
      <c r="N76" s="165">
        <v>226.72</v>
      </c>
      <c r="O76" s="165">
        <f>D76-N76</f>
        <v>-66.72</v>
      </c>
      <c r="P76" s="218">
        <f>D76/N76</f>
        <v>0.7057163020465773</v>
      </c>
      <c r="Q76" s="165">
        <v>158.93</v>
      </c>
      <c r="R76" s="165">
        <f t="shared" si="5"/>
        <v>-16.75</v>
      </c>
      <c r="S76" s="218">
        <f t="shared" si="28"/>
        <v>0.8946076889196501</v>
      </c>
      <c r="T76" s="157">
        <f>E76-жовтень!E64</f>
        <v>0</v>
      </c>
      <c r="U76" s="160">
        <f>F76-жовтень!F64</f>
        <v>22.60000000000001</v>
      </c>
      <c r="V76" s="161">
        <f t="shared" si="24"/>
        <v>22.60000000000001</v>
      </c>
      <c r="W76" s="218" t="e">
        <f t="shared" si="29"/>
        <v>#DIV/0!</v>
      </c>
      <c r="X76" s="363">
        <f t="shared" si="18"/>
        <v>0.18889138687307283</v>
      </c>
    </row>
    <row r="77" spans="1:24" s="6" customFormat="1" ht="18">
      <c r="A77" s="8"/>
      <c r="B77" s="131" t="s">
        <v>44</v>
      </c>
      <c r="C77" s="43">
        <v>31010200</v>
      </c>
      <c r="D77" s="150">
        <v>15</v>
      </c>
      <c r="E77" s="150">
        <v>13.8</v>
      </c>
      <c r="F77" s="156">
        <v>34.22</v>
      </c>
      <c r="G77" s="150">
        <f t="shared" si="23"/>
        <v>20.419999999999998</v>
      </c>
      <c r="H77" s="380">
        <f>F77/E77</f>
        <v>2.479710144927536</v>
      </c>
      <c r="I77" s="165">
        <f t="shared" si="25"/>
        <v>19.22</v>
      </c>
      <c r="J77" s="218">
        <f>F77/D77</f>
        <v>2.2813333333333334</v>
      </c>
      <c r="K77" s="165"/>
      <c r="L77" s="165"/>
      <c r="M77" s="165"/>
      <c r="N77" s="165">
        <v>13.52</v>
      </c>
      <c r="O77" s="165">
        <f>D77-N77</f>
        <v>1.4800000000000004</v>
      </c>
      <c r="P77" s="218">
        <f>D77/N77</f>
        <v>1.1094674556213018</v>
      </c>
      <c r="Q77" s="165">
        <v>13.52</v>
      </c>
      <c r="R77" s="165">
        <f t="shared" si="5"/>
        <v>20.7</v>
      </c>
      <c r="S77" s="218">
        <f t="shared" si="28"/>
        <v>2.5310650887573964</v>
      </c>
      <c r="T77" s="157">
        <f>E77-жовтень!E65</f>
        <v>1.200000000000001</v>
      </c>
      <c r="U77" s="160">
        <f>F77-жовтень!F65</f>
        <v>0</v>
      </c>
      <c r="V77" s="161">
        <f t="shared" si="24"/>
        <v>-1.200000000000001</v>
      </c>
      <c r="W77" s="218">
        <f t="shared" si="29"/>
        <v>0</v>
      </c>
      <c r="X77" s="363">
        <f t="shared" si="18"/>
        <v>1.4215976331360947</v>
      </c>
    </row>
    <row r="78" spans="1:24" s="6" customFormat="1" ht="30.75">
      <c r="A78" s="8"/>
      <c r="B78" s="131" t="s">
        <v>57</v>
      </c>
      <c r="C78" s="43">
        <v>31020000</v>
      </c>
      <c r="D78" s="150">
        <v>0</v>
      </c>
      <c r="E78" s="150">
        <v>0</v>
      </c>
      <c r="F78" s="156">
        <v>-5</v>
      </c>
      <c r="G78" s="150">
        <f t="shared" si="23"/>
        <v>-5</v>
      </c>
      <c r="H78" s="380" t="e">
        <f>F78/E78</f>
        <v>#DIV/0!</v>
      </c>
      <c r="I78" s="165">
        <f t="shared" si="25"/>
        <v>-5</v>
      </c>
      <c r="J78" s="218"/>
      <c r="K78" s="165"/>
      <c r="L78" s="165"/>
      <c r="M78" s="165"/>
      <c r="N78" s="165">
        <v>7.37</v>
      </c>
      <c r="O78" s="165">
        <f>D78-N78</f>
        <v>-7.37</v>
      </c>
      <c r="P78" s="218">
        <f>D78/N78</f>
        <v>0</v>
      </c>
      <c r="Q78" s="165">
        <v>1.07</v>
      </c>
      <c r="R78" s="165">
        <f t="shared" si="5"/>
        <v>-6.07</v>
      </c>
      <c r="S78" s="218">
        <f t="shared" si="28"/>
        <v>-4.672897196261682</v>
      </c>
      <c r="T78" s="157">
        <f>E78-жовтень!E66</f>
        <v>0</v>
      </c>
      <c r="U78" s="160">
        <f>F78-жовтень!F66</f>
        <v>0.03000000000000025</v>
      </c>
      <c r="V78" s="161">
        <f t="shared" si="24"/>
        <v>0.03000000000000025</v>
      </c>
      <c r="W78" s="218"/>
      <c r="X78" s="363">
        <f t="shared" si="18"/>
        <v>-4.672897196261682</v>
      </c>
    </row>
    <row r="79" spans="1:24" s="6" customFormat="1" ht="17.25">
      <c r="A79" s="9"/>
      <c r="B79" s="14" t="s">
        <v>184</v>
      </c>
      <c r="C79" s="62"/>
      <c r="D79" s="151">
        <f>D8+D53+D77+D78</f>
        <v>1357491.1</v>
      </c>
      <c r="E79" s="151">
        <f>E8+E53+E77+E78</f>
        <v>1244757.3</v>
      </c>
      <c r="F79" s="151">
        <f>F8+F53+F77+F78</f>
        <v>1268911.6399999997</v>
      </c>
      <c r="G79" s="151">
        <f>F79-E79</f>
        <v>24154.339999999618</v>
      </c>
      <c r="H79" s="377">
        <f>F79/E79</f>
        <v>1.0194048590837745</v>
      </c>
      <c r="I79" s="153">
        <f>F79-D79</f>
        <v>-88579.46000000043</v>
      </c>
      <c r="J79" s="219">
        <f>F79/D79</f>
        <v>0.9347476679589277</v>
      </c>
      <c r="K79" s="153"/>
      <c r="L79" s="153"/>
      <c r="M79" s="153"/>
      <c r="N79" s="153">
        <v>1053569.51</v>
      </c>
      <c r="O79" s="153">
        <f>D79-N79</f>
        <v>303921.5900000001</v>
      </c>
      <c r="P79" s="219">
        <f>D79/N79</f>
        <v>1.288468475136491</v>
      </c>
      <c r="Q79" s="151">
        <v>951701.01</v>
      </c>
      <c r="R79" s="153">
        <f>F79-Q79</f>
        <v>317210.62999999966</v>
      </c>
      <c r="S79" s="219">
        <f>F79/Q79</f>
        <v>1.3333091240493689</v>
      </c>
      <c r="T79" s="151">
        <f>T8+T53+T77+T78</f>
        <v>129986</v>
      </c>
      <c r="U79" s="151">
        <f>U8+U53+U77+U78</f>
        <v>136867.48999999996</v>
      </c>
      <c r="V79" s="194">
        <f>U79-T79</f>
        <v>6881.489999999962</v>
      </c>
      <c r="W79" s="219">
        <f>U79/T79</f>
        <v>1.0529402397181231</v>
      </c>
      <c r="X79" s="363">
        <f t="shared" si="18"/>
        <v>0.04484064891287787</v>
      </c>
    </row>
    <row r="80" spans="1:24" s="48" customFormat="1" ht="17.25" hidden="1">
      <c r="A80" s="45"/>
      <c r="B80" s="55"/>
      <c r="C80" s="63"/>
      <c r="D80" s="46"/>
      <c r="E80" s="46"/>
      <c r="F80" s="82"/>
      <c r="G80" s="77"/>
      <c r="H80" s="381"/>
      <c r="I80" s="54"/>
      <c r="J80" s="96"/>
      <c r="K80" s="35"/>
      <c r="L80" s="35"/>
      <c r="M80" s="35"/>
      <c r="N80" s="35"/>
      <c r="O80" s="35"/>
      <c r="P80" s="96"/>
      <c r="Q80" s="35"/>
      <c r="R80" s="35"/>
      <c r="S80" s="35"/>
      <c r="T80" s="47"/>
      <c r="U80" s="46"/>
      <c r="V80" s="79"/>
      <c r="W80" s="96"/>
      <c r="X80" s="363">
        <f t="shared" si="18"/>
        <v>0</v>
      </c>
    </row>
    <row r="81" spans="1:24" s="48" customFormat="1" ht="17.25" hidden="1">
      <c r="A81" s="45"/>
      <c r="B81" s="56"/>
      <c r="C81" s="63"/>
      <c r="D81" s="57"/>
      <c r="E81" s="46"/>
      <c r="F81" s="82"/>
      <c r="G81" s="40"/>
      <c r="H81" s="381"/>
      <c r="I81" s="58"/>
      <c r="J81" s="96"/>
      <c r="K81" s="35"/>
      <c r="L81" s="35"/>
      <c r="M81" s="35"/>
      <c r="N81" s="35"/>
      <c r="O81" s="35"/>
      <c r="P81" s="96"/>
      <c r="Q81" s="35"/>
      <c r="R81" s="35"/>
      <c r="S81" s="35"/>
      <c r="T81" s="30"/>
      <c r="U81" s="46"/>
      <c r="V81" s="59"/>
      <c r="W81" s="96"/>
      <c r="X81" s="363">
        <f t="shared" si="18"/>
        <v>0</v>
      </c>
    </row>
    <row r="82" spans="1:24" s="48" customFormat="1" ht="17.25" hidden="1">
      <c r="A82" s="45"/>
      <c r="B82" s="56"/>
      <c r="C82" s="63"/>
      <c r="D82" s="57"/>
      <c r="E82" s="34"/>
      <c r="F82" s="111"/>
      <c r="G82" s="40"/>
      <c r="H82" s="381"/>
      <c r="I82" s="58"/>
      <c r="J82" s="96"/>
      <c r="K82" s="35"/>
      <c r="L82" s="35"/>
      <c r="M82" s="35"/>
      <c r="N82" s="35"/>
      <c r="O82" s="35"/>
      <c r="P82" s="96"/>
      <c r="Q82" s="35"/>
      <c r="R82" s="35"/>
      <c r="S82" s="35"/>
      <c r="T82" s="30"/>
      <c r="U82" s="57"/>
      <c r="V82" s="79"/>
      <c r="W82" s="96"/>
      <c r="X82" s="363">
        <f t="shared" si="18"/>
        <v>0</v>
      </c>
    </row>
    <row r="83" spans="2:24" ht="15">
      <c r="B83" s="22" t="s">
        <v>108</v>
      </c>
      <c r="C83" s="64"/>
      <c r="D83" s="24"/>
      <c r="E83" s="24"/>
      <c r="F83" s="142"/>
      <c r="G83" s="34"/>
      <c r="H83" s="382"/>
      <c r="I83" s="38"/>
      <c r="J83" s="97"/>
      <c r="K83" s="38"/>
      <c r="L83" s="38"/>
      <c r="M83" s="38"/>
      <c r="N83" s="38"/>
      <c r="O83" s="38"/>
      <c r="P83" s="97"/>
      <c r="Q83" s="38"/>
      <c r="R83" s="38"/>
      <c r="S83" s="38"/>
      <c r="T83" s="31"/>
      <c r="U83" s="146"/>
      <c r="V83" s="36"/>
      <c r="W83" s="97"/>
      <c r="X83" s="363">
        <f t="shared" si="18"/>
        <v>0</v>
      </c>
    </row>
    <row r="84" spans="2:24" ht="25.5" customHeight="1" hidden="1">
      <c r="B84" s="235" t="s">
        <v>100</v>
      </c>
      <c r="C84" s="135">
        <v>12020000</v>
      </c>
      <c r="D84" s="180">
        <v>0</v>
      </c>
      <c r="E84" s="180"/>
      <c r="F84" s="181">
        <v>0.01</v>
      </c>
      <c r="G84" s="162"/>
      <c r="H84" s="380"/>
      <c r="I84" s="167"/>
      <c r="J84" s="209"/>
      <c r="K84" s="167"/>
      <c r="L84" s="167"/>
      <c r="M84" s="167"/>
      <c r="N84" s="167"/>
      <c r="O84" s="167"/>
      <c r="P84" s="209"/>
      <c r="Q84" s="167">
        <v>0.01</v>
      </c>
      <c r="R84" s="167">
        <f>F84-Q84</f>
        <v>0</v>
      </c>
      <c r="S84" s="209">
        <f>F84/Q84</f>
        <v>1</v>
      </c>
      <c r="T84" s="162">
        <f>E84-жовтень!E72</f>
        <v>0</v>
      </c>
      <c r="U84" s="182">
        <f>F84-квітень!F72</f>
        <v>0</v>
      </c>
      <c r="V84" s="167"/>
      <c r="W84" s="209"/>
      <c r="X84" s="363">
        <f t="shared" si="18"/>
        <v>1</v>
      </c>
    </row>
    <row r="85" spans="2:24" ht="31.5">
      <c r="B85" s="23" t="s">
        <v>62</v>
      </c>
      <c r="C85" s="73">
        <v>18041500</v>
      </c>
      <c r="D85" s="180">
        <v>0</v>
      </c>
      <c r="E85" s="180"/>
      <c r="F85" s="181">
        <v>-2.64</v>
      </c>
      <c r="G85" s="162">
        <f>F85-E85</f>
        <v>-2.64</v>
      </c>
      <c r="H85" s="380"/>
      <c r="I85" s="167">
        <f>F85-D85</f>
        <v>-2.64</v>
      </c>
      <c r="J85" s="209"/>
      <c r="K85" s="167"/>
      <c r="L85" s="167"/>
      <c r="M85" s="167"/>
      <c r="N85" s="167">
        <v>-10.19</v>
      </c>
      <c r="O85" s="167">
        <f>D85-N85</f>
        <v>10.19</v>
      </c>
      <c r="P85" s="209">
        <f>D85/N85</f>
        <v>0</v>
      </c>
      <c r="Q85" s="167">
        <v>-10.19</v>
      </c>
      <c r="R85" s="167">
        <f>F85-Q85</f>
        <v>7.549999999999999</v>
      </c>
      <c r="S85" s="209">
        <f>F85/Q85</f>
        <v>0.2590775269872424</v>
      </c>
      <c r="T85" s="162">
        <f>E85-жовтень!E73</f>
        <v>0</v>
      </c>
      <c r="U85" s="160">
        <f>F85-жовтень!F73</f>
        <v>0</v>
      </c>
      <c r="V85" s="167">
        <f>U85-T85</f>
        <v>0</v>
      </c>
      <c r="W85" s="209"/>
      <c r="X85" s="363">
        <f t="shared" si="18"/>
        <v>0.2590775269872424</v>
      </c>
    </row>
    <row r="86" spans="2:24" ht="17.25">
      <c r="B86" s="28" t="s">
        <v>45</v>
      </c>
      <c r="C86" s="74"/>
      <c r="D86" s="183">
        <f>D85</f>
        <v>0</v>
      </c>
      <c r="E86" s="183">
        <f>E85</f>
        <v>0</v>
      </c>
      <c r="F86" s="184">
        <f>SUM(F84:F85)</f>
        <v>-2.6300000000000003</v>
      </c>
      <c r="G86" s="185">
        <f>F86-E86</f>
        <v>-2.6300000000000003</v>
      </c>
      <c r="H86" s="383"/>
      <c r="I86" s="187">
        <f>F86-D86</f>
        <v>-2.6300000000000003</v>
      </c>
      <c r="J86" s="214"/>
      <c r="K86" s="187"/>
      <c r="L86" s="187"/>
      <c r="M86" s="187"/>
      <c r="N86" s="187">
        <v>-10.18</v>
      </c>
      <c r="O86" s="187">
        <f>D86-N86</f>
        <v>10.18</v>
      </c>
      <c r="P86" s="214">
        <f>D86/N86</f>
        <v>0</v>
      </c>
      <c r="Q86" s="187">
        <v>-10.18</v>
      </c>
      <c r="R86" s="187">
        <f aca="true" t="shared" si="30" ref="R86:R98">F86-Q86</f>
        <v>7.549999999999999</v>
      </c>
      <c r="S86" s="214">
        <f aca="true" t="shared" si="31" ref="S86:S101">F86/Q86</f>
        <v>0.25834970530451873</v>
      </c>
      <c r="T86" s="185">
        <f>SUM(T84:T85)</f>
        <v>0</v>
      </c>
      <c r="U86" s="188">
        <f>SUM(U84:U85)</f>
        <v>0</v>
      </c>
      <c r="V86" s="187">
        <f>U86-T86</f>
        <v>0</v>
      </c>
      <c r="W86" s="214"/>
      <c r="X86" s="363">
        <f t="shared" si="18"/>
        <v>0.25834970530451873</v>
      </c>
    </row>
    <row r="87" spans="2:24" ht="45.75">
      <c r="B87" s="28" t="s">
        <v>37</v>
      </c>
      <c r="C87" s="135">
        <v>21110000</v>
      </c>
      <c r="D87" s="183">
        <v>0</v>
      </c>
      <c r="E87" s="183">
        <v>0</v>
      </c>
      <c r="F87" s="184">
        <v>35.57</v>
      </c>
      <c r="G87" s="185">
        <f aca="true" t="shared" si="32" ref="G87:G98">F87-E87</f>
        <v>35.57</v>
      </c>
      <c r="H87" s="383"/>
      <c r="I87" s="187">
        <f>F87-D87</f>
        <v>35.57</v>
      </c>
      <c r="J87" s="214"/>
      <c r="K87" s="187"/>
      <c r="L87" s="187"/>
      <c r="M87" s="187"/>
      <c r="N87" s="187">
        <v>0</v>
      </c>
      <c r="O87" s="187">
        <f aca="true" t="shared" si="33" ref="O87:O98">D87-N87</f>
        <v>0</v>
      </c>
      <c r="P87" s="214" t="e">
        <f aca="true" t="shared" si="34" ref="P87:P98">D87/N87</f>
        <v>#DIV/0!</v>
      </c>
      <c r="Q87" s="187">
        <v>0</v>
      </c>
      <c r="R87" s="187">
        <f t="shared" si="30"/>
        <v>35.57</v>
      </c>
      <c r="S87" s="209"/>
      <c r="T87" s="186">
        <f>E87-жовтень!E75</f>
        <v>0</v>
      </c>
      <c r="U87" s="289">
        <f>F87-жовтень!F75</f>
        <v>0</v>
      </c>
      <c r="V87" s="187">
        <f aca="true" t="shared" si="35" ref="V87:V98">U87-T87</f>
        <v>0</v>
      </c>
      <c r="W87" s="214"/>
      <c r="X87" s="363"/>
    </row>
    <row r="88" spans="2:24" ht="31.5">
      <c r="B88" s="23" t="s">
        <v>29</v>
      </c>
      <c r="C88" s="73">
        <v>31030000</v>
      </c>
      <c r="D88" s="180">
        <v>74458.74</v>
      </c>
      <c r="E88" s="180">
        <v>55843.51</v>
      </c>
      <c r="F88" s="181">
        <v>938.1</v>
      </c>
      <c r="G88" s="162">
        <f t="shared" si="32"/>
        <v>-54905.41</v>
      </c>
      <c r="H88" s="380">
        <f>F88/E88</f>
        <v>0.01679872916297704</v>
      </c>
      <c r="I88" s="167">
        <f>F88-D88</f>
        <v>-73520.64</v>
      </c>
      <c r="J88" s="209">
        <f>F88/D88</f>
        <v>0.0125989239141033</v>
      </c>
      <c r="K88" s="167"/>
      <c r="L88" s="167"/>
      <c r="M88" s="167"/>
      <c r="N88" s="167">
        <v>4618.99</v>
      </c>
      <c r="O88" s="167">
        <f t="shared" si="33"/>
        <v>69839.75</v>
      </c>
      <c r="P88" s="209">
        <f t="shared" si="34"/>
        <v>16.12013448827558</v>
      </c>
      <c r="Q88" s="167">
        <v>2260.63</v>
      </c>
      <c r="R88" s="167">
        <f t="shared" si="30"/>
        <v>-1322.5300000000002</v>
      </c>
      <c r="S88" s="209">
        <f t="shared" si="31"/>
        <v>0.41497281731198826</v>
      </c>
      <c r="T88" s="157">
        <f>E88-жовтень!E76</f>
        <v>-2805.5999999999985</v>
      </c>
      <c r="U88" s="160">
        <f>F88-жовтень!F76</f>
        <v>0.07000000000005002</v>
      </c>
      <c r="V88" s="167">
        <f t="shared" si="35"/>
        <v>2805.6699999999987</v>
      </c>
      <c r="W88" s="209">
        <f>U88/T88</f>
        <v>-2.4950099800417045E-05</v>
      </c>
      <c r="X88" s="363">
        <f t="shared" si="18"/>
        <v>-15.70516167096359</v>
      </c>
    </row>
    <row r="89" spans="2:24" ht="18">
      <c r="B89" s="23" t="s">
        <v>30</v>
      </c>
      <c r="C89" s="73">
        <v>33010000</v>
      </c>
      <c r="D89" s="180">
        <f>8000+46000</f>
        <v>54000</v>
      </c>
      <c r="E89" s="180">
        <v>33630</v>
      </c>
      <c r="F89" s="181">
        <v>7854.99</v>
      </c>
      <c r="G89" s="162">
        <f t="shared" si="32"/>
        <v>-25775.010000000002</v>
      </c>
      <c r="H89" s="380">
        <f>F89/E89</f>
        <v>0.23357091882247993</v>
      </c>
      <c r="I89" s="167">
        <f aca="true" t="shared" si="36" ref="I89:I98">F89-D89</f>
        <v>-46145.01</v>
      </c>
      <c r="J89" s="209">
        <f>F89/D89</f>
        <v>0.14546277777777777</v>
      </c>
      <c r="K89" s="167"/>
      <c r="L89" s="167"/>
      <c r="M89" s="167"/>
      <c r="N89" s="167">
        <v>10435.77</v>
      </c>
      <c r="O89" s="167">
        <f t="shared" si="33"/>
        <v>43564.229999999996</v>
      </c>
      <c r="P89" s="209">
        <f t="shared" si="34"/>
        <v>5.174510361956999</v>
      </c>
      <c r="Q89" s="167">
        <v>7293.63</v>
      </c>
      <c r="R89" s="167">
        <f t="shared" si="30"/>
        <v>561.3599999999997</v>
      </c>
      <c r="S89" s="209">
        <f t="shared" si="31"/>
        <v>1.0769657906968135</v>
      </c>
      <c r="T89" s="157">
        <f>E89-жовтень!E77</f>
        <v>3600</v>
      </c>
      <c r="U89" s="160">
        <f>F89-жовтень!F77</f>
        <v>271.78999999999996</v>
      </c>
      <c r="V89" s="167">
        <f t="shared" si="35"/>
        <v>-3328.21</v>
      </c>
      <c r="W89" s="209">
        <f>U89/T89</f>
        <v>0.07549722222222222</v>
      </c>
      <c r="X89" s="363">
        <f t="shared" si="18"/>
        <v>-4.097544571260186</v>
      </c>
    </row>
    <row r="90" spans="2:24" ht="31.5">
      <c r="B90" s="23" t="s">
        <v>54</v>
      </c>
      <c r="C90" s="73">
        <v>24170000</v>
      </c>
      <c r="D90" s="180">
        <f>10000+69000</f>
        <v>79000</v>
      </c>
      <c r="E90" s="180">
        <v>55300</v>
      </c>
      <c r="F90" s="181">
        <v>15706.54</v>
      </c>
      <c r="G90" s="162">
        <f t="shared" si="32"/>
        <v>-39593.46</v>
      </c>
      <c r="H90" s="380">
        <f>F90/E90</f>
        <v>0.2840242314647378</v>
      </c>
      <c r="I90" s="167">
        <f t="shared" si="36"/>
        <v>-63293.46</v>
      </c>
      <c r="J90" s="209">
        <f>F90/D90</f>
        <v>0.19881696202531646</v>
      </c>
      <c r="K90" s="167"/>
      <c r="L90" s="167"/>
      <c r="M90" s="167"/>
      <c r="N90" s="167">
        <v>12593.19</v>
      </c>
      <c r="O90" s="167">
        <f t="shared" si="33"/>
        <v>66406.81</v>
      </c>
      <c r="P90" s="209">
        <f t="shared" si="34"/>
        <v>6.273231802267733</v>
      </c>
      <c r="Q90" s="167">
        <v>12375.13</v>
      </c>
      <c r="R90" s="167">
        <f t="shared" si="30"/>
        <v>3331.4100000000017</v>
      </c>
      <c r="S90" s="209">
        <f t="shared" si="31"/>
        <v>1.269202020504027</v>
      </c>
      <c r="T90" s="157">
        <f>E90-жовтень!E78</f>
        <v>23700</v>
      </c>
      <c r="U90" s="160">
        <f>F90-жовтень!F78</f>
        <v>817.2300000000014</v>
      </c>
      <c r="V90" s="167">
        <f t="shared" si="35"/>
        <v>-22882.769999999997</v>
      </c>
      <c r="W90" s="209">
        <f>U90/T90</f>
        <v>0.034482278481012714</v>
      </c>
      <c r="X90" s="363">
        <f t="shared" si="18"/>
        <v>-5.004029781763706</v>
      </c>
    </row>
    <row r="91" spans="2:24" ht="18">
      <c r="B91" s="23" t="s">
        <v>101</v>
      </c>
      <c r="C91" s="73">
        <v>24110700</v>
      </c>
      <c r="D91" s="180">
        <v>12</v>
      </c>
      <c r="E91" s="180">
        <v>11</v>
      </c>
      <c r="F91" s="181">
        <v>16</v>
      </c>
      <c r="G91" s="162">
        <f t="shared" si="32"/>
        <v>5</v>
      </c>
      <c r="H91" s="380">
        <f>F91/E91</f>
        <v>1.4545454545454546</v>
      </c>
      <c r="I91" s="167">
        <f t="shared" si="36"/>
        <v>4</v>
      </c>
      <c r="J91" s="209">
        <f>F91/D91</f>
        <v>1.3333333333333333</v>
      </c>
      <c r="K91" s="167"/>
      <c r="L91" s="167"/>
      <c r="M91" s="167"/>
      <c r="N91" s="167">
        <v>13</v>
      </c>
      <c r="O91" s="167">
        <f t="shared" si="33"/>
        <v>-1</v>
      </c>
      <c r="P91" s="209">
        <f t="shared" si="34"/>
        <v>0.9230769230769231</v>
      </c>
      <c r="Q91" s="167">
        <v>12</v>
      </c>
      <c r="R91" s="167">
        <f t="shared" si="30"/>
        <v>4</v>
      </c>
      <c r="S91" s="209">
        <f t="shared" si="31"/>
        <v>1.3333333333333333</v>
      </c>
      <c r="T91" s="157">
        <f>E91-жовтень!E79</f>
        <v>1</v>
      </c>
      <c r="U91" s="160">
        <f>F91-жовтень!F79</f>
        <v>4</v>
      </c>
      <c r="V91" s="167">
        <f t="shared" si="35"/>
        <v>3</v>
      </c>
      <c r="W91" s="209">
        <f>U91/T91</f>
        <v>4</v>
      </c>
      <c r="X91" s="363">
        <f t="shared" si="18"/>
        <v>0.41025641025641013</v>
      </c>
    </row>
    <row r="92" spans="2:24" ht="33">
      <c r="B92" s="28" t="s">
        <v>51</v>
      </c>
      <c r="C92" s="65"/>
      <c r="D92" s="183">
        <f>D88+D89+D90+D91</f>
        <v>207470.74</v>
      </c>
      <c r="E92" s="183">
        <f>E88+E89+E90+E91</f>
        <v>144784.51</v>
      </c>
      <c r="F92" s="184">
        <f>F88+F89+F90+F91</f>
        <v>24515.63</v>
      </c>
      <c r="G92" s="185">
        <f t="shared" si="32"/>
        <v>-120268.88</v>
      </c>
      <c r="H92" s="383">
        <f>F92/E92</f>
        <v>0.16932495057654992</v>
      </c>
      <c r="I92" s="187">
        <f t="shared" si="36"/>
        <v>-182955.11</v>
      </c>
      <c r="J92" s="214">
        <f>F92/D92</f>
        <v>0.1181642770445606</v>
      </c>
      <c r="K92" s="187"/>
      <c r="L92" s="187"/>
      <c r="M92" s="187"/>
      <c r="N92" s="187">
        <v>27660.95</v>
      </c>
      <c r="O92" s="187">
        <f t="shared" si="33"/>
        <v>179809.78999999998</v>
      </c>
      <c r="P92" s="214">
        <f t="shared" si="34"/>
        <v>7.500492210137395</v>
      </c>
      <c r="Q92" s="187">
        <v>21941.39</v>
      </c>
      <c r="R92" s="167">
        <f t="shared" si="30"/>
        <v>2574.2400000000016</v>
      </c>
      <c r="S92" s="209">
        <f t="shared" si="31"/>
        <v>1.1173234694793721</v>
      </c>
      <c r="T92" s="185">
        <f>T88+T89+T90+T91</f>
        <v>24495.4</v>
      </c>
      <c r="U92" s="189">
        <f>U88+U89+U90+U91</f>
        <v>1093.0900000000015</v>
      </c>
      <c r="V92" s="187">
        <f t="shared" si="35"/>
        <v>-23402.31</v>
      </c>
      <c r="W92" s="214">
        <f>U92/T92</f>
        <v>0.04462429680674745</v>
      </c>
      <c r="X92" s="363">
        <f t="shared" si="18"/>
        <v>-6.383168740658023</v>
      </c>
    </row>
    <row r="93" spans="2:24" ht="46.5">
      <c r="B93" s="12" t="s">
        <v>40</v>
      </c>
      <c r="C93" s="75">
        <v>24062100</v>
      </c>
      <c r="D93" s="180">
        <v>40</v>
      </c>
      <c r="E93" s="180">
        <v>34</v>
      </c>
      <c r="F93" s="181">
        <v>49.17</v>
      </c>
      <c r="G93" s="162">
        <f t="shared" si="32"/>
        <v>15.170000000000002</v>
      </c>
      <c r="H93" s="380"/>
      <c r="I93" s="167">
        <f t="shared" si="36"/>
        <v>9.170000000000002</v>
      </c>
      <c r="J93" s="209"/>
      <c r="K93" s="167"/>
      <c r="L93" s="167"/>
      <c r="M93" s="167"/>
      <c r="N93" s="167">
        <v>69.99</v>
      </c>
      <c r="O93" s="167">
        <f t="shared" si="33"/>
        <v>-29.989999999999995</v>
      </c>
      <c r="P93" s="209">
        <f t="shared" si="34"/>
        <v>0.5715102157451065</v>
      </c>
      <c r="Q93" s="167">
        <v>53.94</v>
      </c>
      <c r="R93" s="167">
        <f t="shared" si="30"/>
        <v>-4.769999999999996</v>
      </c>
      <c r="S93" s="209">
        <f t="shared" si="31"/>
        <v>0.9115684093437153</v>
      </c>
      <c r="T93" s="157">
        <f>E93-жовтень!E81</f>
        <v>15</v>
      </c>
      <c r="U93" s="160">
        <f>F93-жовтень!F81</f>
        <v>11.030000000000001</v>
      </c>
      <c r="V93" s="167">
        <f t="shared" si="35"/>
        <v>-3.969999999999999</v>
      </c>
      <c r="W93" s="209"/>
      <c r="X93" s="363">
        <f t="shared" si="18"/>
        <v>0.3400581935986088</v>
      </c>
    </row>
    <row r="94" spans="2:24" ht="18" hidden="1">
      <c r="B94" s="236" t="s">
        <v>52</v>
      </c>
      <c r="C94" s="73">
        <v>24061600</v>
      </c>
      <c r="D94" s="180">
        <v>0</v>
      </c>
      <c r="E94" s="180">
        <v>0</v>
      </c>
      <c r="F94" s="181">
        <v>0</v>
      </c>
      <c r="G94" s="162">
        <f t="shared" si="32"/>
        <v>0</v>
      </c>
      <c r="H94" s="380"/>
      <c r="I94" s="167">
        <f t="shared" si="36"/>
        <v>0</v>
      </c>
      <c r="J94" s="391"/>
      <c r="K94" s="190"/>
      <c r="L94" s="190"/>
      <c r="M94" s="190"/>
      <c r="N94" s="190"/>
      <c r="O94" s="167">
        <f t="shared" si="33"/>
        <v>0</v>
      </c>
      <c r="P94" s="209" t="e">
        <f t="shared" si="34"/>
        <v>#DIV/0!</v>
      </c>
      <c r="Q94" s="167">
        <v>0</v>
      </c>
      <c r="R94" s="167">
        <f t="shared" si="30"/>
        <v>0</v>
      </c>
      <c r="S94" s="209" t="e">
        <f t="shared" si="31"/>
        <v>#DIV/0!</v>
      </c>
      <c r="T94" s="157">
        <f>E94-жовтень!E82</f>
        <v>0</v>
      </c>
      <c r="U94" s="160">
        <f>F94-жовтень!F82</f>
        <v>0</v>
      </c>
      <c r="V94" s="167">
        <f t="shared" si="35"/>
        <v>0</v>
      </c>
      <c r="W94" s="391"/>
      <c r="X94" s="363" t="e">
        <f t="shared" si="18"/>
        <v>#DIV/0!</v>
      </c>
    </row>
    <row r="95" spans="2:24" ht="18">
      <c r="B95" s="23" t="s">
        <v>46</v>
      </c>
      <c r="C95" s="73">
        <v>19010000</v>
      </c>
      <c r="D95" s="180">
        <v>8360</v>
      </c>
      <c r="E95" s="180">
        <v>8359.5</v>
      </c>
      <c r="F95" s="181">
        <v>8032.95</v>
      </c>
      <c r="G95" s="162">
        <f t="shared" si="32"/>
        <v>-326.5500000000002</v>
      </c>
      <c r="H95" s="380">
        <f>F95/E95</f>
        <v>0.9609366588910819</v>
      </c>
      <c r="I95" s="167">
        <f t="shared" si="36"/>
        <v>-327.0500000000002</v>
      </c>
      <c r="J95" s="209">
        <f>F95/D95</f>
        <v>0.9608791866028707</v>
      </c>
      <c r="K95" s="167"/>
      <c r="L95" s="167"/>
      <c r="M95" s="167"/>
      <c r="N95" s="167">
        <v>8352.68</v>
      </c>
      <c r="O95" s="167">
        <f t="shared" si="33"/>
        <v>7.319999999999709</v>
      </c>
      <c r="P95" s="209">
        <f t="shared" si="34"/>
        <v>1.0008763654300177</v>
      </c>
      <c r="Q95" s="167">
        <v>8350.66</v>
      </c>
      <c r="R95" s="167">
        <f t="shared" si="30"/>
        <v>-317.71000000000004</v>
      </c>
      <c r="S95" s="209">
        <f t="shared" si="31"/>
        <v>0.9619539054398095</v>
      </c>
      <c r="T95" s="157">
        <f>E95-жовтень!E83</f>
        <v>1959.5</v>
      </c>
      <c r="U95" s="160">
        <f>F95-жовтень!F83</f>
        <v>1240.0199999999995</v>
      </c>
      <c r="V95" s="167">
        <f t="shared" si="35"/>
        <v>-719.4800000000005</v>
      </c>
      <c r="W95" s="209">
        <f>U95/T95</f>
        <v>0.6328247001786168</v>
      </c>
      <c r="X95" s="363">
        <f t="shared" si="18"/>
        <v>-0.03892245999020816</v>
      </c>
    </row>
    <row r="96" spans="2:24" ht="31.5">
      <c r="B96" s="23" t="s">
        <v>50</v>
      </c>
      <c r="C96" s="73">
        <v>19050000</v>
      </c>
      <c r="D96" s="180">
        <v>0</v>
      </c>
      <c r="E96" s="180"/>
      <c r="F96" s="181">
        <v>0.1</v>
      </c>
      <c r="G96" s="162">
        <f t="shared" si="32"/>
        <v>0.1</v>
      </c>
      <c r="H96" s="380"/>
      <c r="I96" s="167">
        <f t="shared" si="36"/>
        <v>0.1</v>
      </c>
      <c r="J96" s="209"/>
      <c r="K96" s="167"/>
      <c r="L96" s="167"/>
      <c r="M96" s="167"/>
      <c r="N96" s="167">
        <v>1.48</v>
      </c>
      <c r="O96" s="167">
        <f t="shared" si="33"/>
        <v>-1.48</v>
      </c>
      <c r="P96" s="209">
        <f t="shared" si="34"/>
        <v>0</v>
      </c>
      <c r="Q96" s="167">
        <v>1.48</v>
      </c>
      <c r="R96" s="167">
        <f t="shared" si="30"/>
        <v>-1.38</v>
      </c>
      <c r="S96" s="209">
        <f t="shared" si="31"/>
        <v>0.06756756756756757</v>
      </c>
      <c r="T96" s="157">
        <f>E96-жовтень!E84</f>
        <v>0</v>
      </c>
      <c r="U96" s="160">
        <f>F96-жовтень!F84</f>
        <v>0.020000000000000004</v>
      </c>
      <c r="V96" s="167">
        <f t="shared" si="35"/>
        <v>0.020000000000000004</v>
      </c>
      <c r="W96" s="391"/>
      <c r="X96" s="363">
        <f t="shared" si="18"/>
        <v>0.06756756756756757</v>
      </c>
    </row>
    <row r="97" spans="2:24" ht="30.75">
      <c r="B97" s="28" t="s">
        <v>47</v>
      </c>
      <c r="C97" s="73"/>
      <c r="D97" s="183">
        <f>D93+D96+D94+D95</f>
        <v>8400</v>
      </c>
      <c r="E97" s="183">
        <f>E93+E96+E94+E95</f>
        <v>8393.5</v>
      </c>
      <c r="F97" s="184">
        <f>F93+F96+F94+F95</f>
        <v>8082.22</v>
      </c>
      <c r="G97" s="185">
        <f t="shared" si="32"/>
        <v>-311.27999999999975</v>
      </c>
      <c r="H97" s="383">
        <f>F97/E97</f>
        <v>0.962914159766486</v>
      </c>
      <c r="I97" s="187">
        <f t="shared" si="36"/>
        <v>-317.77999999999975</v>
      </c>
      <c r="J97" s="214">
        <f>F97/D97</f>
        <v>0.9621690476190476</v>
      </c>
      <c r="K97" s="187"/>
      <c r="L97" s="187"/>
      <c r="M97" s="187"/>
      <c r="N97" s="187">
        <v>8424.15</v>
      </c>
      <c r="O97" s="187">
        <f t="shared" si="33"/>
        <v>-24.149999999999636</v>
      </c>
      <c r="P97" s="214">
        <f t="shared" si="34"/>
        <v>0.9971332419294529</v>
      </c>
      <c r="Q97" s="187">
        <v>8406.08</v>
      </c>
      <c r="R97" s="167">
        <f t="shared" si="30"/>
        <v>-323.8599999999997</v>
      </c>
      <c r="S97" s="209">
        <f t="shared" si="31"/>
        <v>0.9614731242148541</v>
      </c>
      <c r="T97" s="185">
        <f>T93+T96+T94+T95</f>
        <v>1974.5</v>
      </c>
      <c r="U97" s="189">
        <f>U93+U96+U94+U95</f>
        <v>1251.0699999999995</v>
      </c>
      <c r="V97" s="187">
        <f t="shared" si="35"/>
        <v>-723.4300000000005</v>
      </c>
      <c r="W97" s="214">
        <f>U97/T97</f>
        <v>0.6336135730564697</v>
      </c>
      <c r="X97" s="363">
        <f t="shared" si="18"/>
        <v>-0.03566011771459876</v>
      </c>
    </row>
    <row r="98" spans="2:24" ht="30.75">
      <c r="B98" s="12" t="s">
        <v>41</v>
      </c>
      <c r="C98" s="43">
        <v>24110900</v>
      </c>
      <c r="D98" s="180">
        <v>38</v>
      </c>
      <c r="E98" s="180">
        <v>38</v>
      </c>
      <c r="F98" s="181">
        <v>29.03</v>
      </c>
      <c r="G98" s="162">
        <f t="shared" si="32"/>
        <v>-8.969999999999999</v>
      </c>
      <c r="H98" s="380">
        <f>F98/E98</f>
        <v>0.7639473684210527</v>
      </c>
      <c r="I98" s="167">
        <f t="shared" si="36"/>
        <v>-8.969999999999999</v>
      </c>
      <c r="J98" s="209">
        <f>F98/D98</f>
        <v>0.7639473684210527</v>
      </c>
      <c r="K98" s="167"/>
      <c r="L98" s="167"/>
      <c r="M98" s="167"/>
      <c r="N98" s="167">
        <v>35.33</v>
      </c>
      <c r="O98" s="167">
        <f t="shared" si="33"/>
        <v>2.6700000000000017</v>
      </c>
      <c r="P98" s="209">
        <f t="shared" si="34"/>
        <v>1.075573167279932</v>
      </c>
      <c r="Q98" s="187">
        <v>27.79</v>
      </c>
      <c r="R98" s="167">
        <f t="shared" si="30"/>
        <v>1.240000000000002</v>
      </c>
      <c r="S98" s="209">
        <f t="shared" si="31"/>
        <v>1.044620367038503</v>
      </c>
      <c r="T98" s="157">
        <f>E98-жовтень!E86</f>
        <v>2.700000000000003</v>
      </c>
      <c r="U98" s="160">
        <f>F98-жовтень!F86</f>
        <v>1.7800000000000011</v>
      </c>
      <c r="V98" s="167">
        <f t="shared" si="35"/>
        <v>-0.9200000000000017</v>
      </c>
      <c r="W98" s="209">
        <f>U98/T98</f>
        <v>0.659259259259259</v>
      </c>
      <c r="X98" s="363">
        <f t="shared" si="18"/>
        <v>-0.03095280024142899</v>
      </c>
    </row>
    <row r="99" spans="2:24" ht="18" hidden="1">
      <c r="B99" s="122"/>
      <c r="C99" s="43">
        <v>21110000</v>
      </c>
      <c r="D99" s="180">
        <v>0</v>
      </c>
      <c r="E99" s="180">
        <v>0</v>
      </c>
      <c r="F99" s="181"/>
      <c r="G99" s="162" t="e">
        <f>#N/A</f>
        <v>#N/A</v>
      </c>
      <c r="H99" s="380"/>
      <c r="I99" s="167" t="e">
        <f>#N/A</f>
        <v>#N/A</v>
      </c>
      <c r="J99" s="209"/>
      <c r="K99" s="167"/>
      <c r="L99" s="167"/>
      <c r="M99" s="167"/>
      <c r="N99" s="167"/>
      <c r="O99" s="167"/>
      <c r="P99" s="209"/>
      <c r="Q99" s="167">
        <v>18.76</v>
      </c>
      <c r="R99" s="187" t="e">
        <f>#N/A</f>
        <v>#N/A</v>
      </c>
      <c r="S99" s="209">
        <f t="shared" si="31"/>
        <v>0</v>
      </c>
      <c r="T99" s="164">
        <f>E99-квітень!E87</f>
        <v>0</v>
      </c>
      <c r="U99" s="168">
        <f>F99-квітень!F87</f>
        <v>0</v>
      </c>
      <c r="V99" s="167" t="e">
        <f>#N/A</f>
        <v>#N/A</v>
      </c>
      <c r="W99" s="209"/>
      <c r="X99" s="363">
        <f t="shared" si="18"/>
        <v>0</v>
      </c>
    </row>
    <row r="100" spans="2:24" ht="23.25" customHeight="1">
      <c r="B100" s="306" t="s">
        <v>31</v>
      </c>
      <c r="C100" s="307"/>
      <c r="D100" s="308">
        <f>D86+D87+D92+D97+D98</f>
        <v>215908.74</v>
      </c>
      <c r="E100" s="308">
        <f>E86+E87+E92+E97+E98</f>
        <v>153216.01</v>
      </c>
      <c r="F100" s="308">
        <f>F86+F87+F92+F97+F98</f>
        <v>32659.82</v>
      </c>
      <c r="G100" s="309">
        <f>F100-E100</f>
        <v>-120556.19</v>
      </c>
      <c r="H100" s="384">
        <f>F100/E100</f>
        <v>0.21316192739910142</v>
      </c>
      <c r="I100" s="301">
        <f>F100-D100</f>
        <v>-183248.91999999998</v>
      </c>
      <c r="J100" s="302">
        <f>F100/D100</f>
        <v>0.1512667805851676</v>
      </c>
      <c r="K100" s="301"/>
      <c r="L100" s="301"/>
      <c r="M100" s="301"/>
      <c r="N100" s="301">
        <v>36110.25</v>
      </c>
      <c r="O100" s="301">
        <f>D100-N100</f>
        <v>179798.49</v>
      </c>
      <c r="P100" s="302">
        <f>D100/N100</f>
        <v>5.979153841360832</v>
      </c>
      <c r="Q100" s="308">
        <v>30365.08</v>
      </c>
      <c r="R100" s="301">
        <f>F100-Q100</f>
        <v>2294.739999999998</v>
      </c>
      <c r="S100" s="302">
        <f t="shared" si="31"/>
        <v>1.0755716764125107</v>
      </c>
      <c r="T100" s="308">
        <f>T86+T87+T92+T97+T98</f>
        <v>26472.600000000002</v>
      </c>
      <c r="U100" s="308">
        <f>U86+U87+U92+U97+U98</f>
        <v>2345.940000000001</v>
      </c>
      <c r="V100" s="301">
        <f>U100-T100</f>
        <v>-24126.66</v>
      </c>
      <c r="W100" s="302">
        <f>U100/T100</f>
        <v>0.08861766505745566</v>
      </c>
      <c r="X100" s="363">
        <f aca="true" t="shared" si="37" ref="X100:X161">S100-P100</f>
        <v>-4.903582164948321</v>
      </c>
    </row>
    <row r="101" spans="2:24" ht="17.25">
      <c r="B101" s="311" t="s">
        <v>182</v>
      </c>
      <c r="C101" s="307"/>
      <c r="D101" s="308">
        <f>D79+D100</f>
        <v>1573399.84</v>
      </c>
      <c r="E101" s="308">
        <f>E79+E100</f>
        <v>1397973.31</v>
      </c>
      <c r="F101" s="308">
        <f>F79+F100</f>
        <v>1301571.4599999997</v>
      </c>
      <c r="G101" s="309">
        <f>F101-E101</f>
        <v>-96401.85000000033</v>
      </c>
      <c r="H101" s="384">
        <f>F101/E101</f>
        <v>0.9310417092297704</v>
      </c>
      <c r="I101" s="301">
        <f>F101-D101</f>
        <v>-271828.38000000035</v>
      </c>
      <c r="J101" s="302">
        <f>F101/D101</f>
        <v>0.8272350275566316</v>
      </c>
      <c r="K101" s="301"/>
      <c r="L101" s="301"/>
      <c r="M101" s="301"/>
      <c r="N101" s="301">
        <v>1089679.76</v>
      </c>
      <c r="O101" s="301">
        <f>D101-N101</f>
        <v>483720.0800000001</v>
      </c>
      <c r="P101" s="302">
        <f>D101/N101</f>
        <v>1.443910309942804</v>
      </c>
      <c r="Q101" s="301">
        <f>Q79+Q100</f>
        <v>982066.09</v>
      </c>
      <c r="R101" s="301">
        <f>R79+R100</f>
        <v>319505.36999999965</v>
      </c>
      <c r="S101" s="302">
        <f t="shared" si="31"/>
        <v>1.3253399880653651</v>
      </c>
      <c r="T101" s="309">
        <f>T79+T100</f>
        <v>156458.6</v>
      </c>
      <c r="U101" s="309">
        <f>U79+U100</f>
        <v>139213.42999999996</v>
      </c>
      <c r="V101" s="301">
        <f>U101-T101</f>
        <v>-17245.170000000042</v>
      </c>
      <c r="W101" s="302">
        <f>U101/T101</f>
        <v>0.8897780626951791</v>
      </c>
      <c r="X101" s="363">
        <f t="shared" si="37"/>
        <v>-0.11857032187743877</v>
      </c>
    </row>
    <row r="102" spans="2:24" ht="15">
      <c r="B102" s="20" t="s">
        <v>34</v>
      </c>
      <c r="U102" s="25"/>
      <c r="X102" s="363">
        <f t="shared" si="37"/>
        <v>0</v>
      </c>
    </row>
    <row r="103" spans="2:24" ht="15">
      <c r="B103" s="4" t="s">
        <v>36</v>
      </c>
      <c r="C103" s="76">
        <v>0</v>
      </c>
      <c r="D103" s="4" t="s">
        <v>35</v>
      </c>
      <c r="U103" s="78"/>
      <c r="X103" s="363">
        <f t="shared" si="37"/>
        <v>0</v>
      </c>
    </row>
    <row r="104" spans="2:24" ht="30.75">
      <c r="B104" s="52" t="s">
        <v>53</v>
      </c>
      <c r="C104" s="29">
        <f>IF(V79&lt;0,ABS(V79/C103),0)</f>
        <v>0</v>
      </c>
      <c r="D104" s="4" t="s">
        <v>24</v>
      </c>
      <c r="G104" s="455"/>
      <c r="H104" s="455"/>
      <c r="I104" s="455"/>
      <c r="J104" s="455"/>
      <c r="K104" s="84"/>
      <c r="L104" s="84"/>
      <c r="M104" s="84"/>
      <c r="N104" s="84"/>
      <c r="O104" s="84"/>
      <c r="P104" s="342"/>
      <c r="Q104" s="84"/>
      <c r="R104" s="84"/>
      <c r="S104" s="84"/>
      <c r="W104" s="25"/>
      <c r="X104" s="363">
        <f t="shared" si="37"/>
        <v>0</v>
      </c>
    </row>
    <row r="105" spans="2:24" ht="34.5" customHeight="1">
      <c r="B105" s="53" t="s">
        <v>55</v>
      </c>
      <c r="C105" s="81">
        <v>43069</v>
      </c>
      <c r="D105" s="29">
        <v>13304.2</v>
      </c>
      <c r="G105" s="4" t="s">
        <v>58</v>
      </c>
      <c r="U105" s="443"/>
      <c r="V105" s="443"/>
      <c r="X105" s="363">
        <f t="shared" si="37"/>
        <v>0</v>
      </c>
    </row>
    <row r="106" spans="3:24" ht="15">
      <c r="C106" s="81">
        <v>43068</v>
      </c>
      <c r="D106" s="29">
        <v>11558.5</v>
      </c>
      <c r="G106" s="439"/>
      <c r="H106" s="439"/>
      <c r="I106" s="118"/>
      <c r="J106" s="295"/>
      <c r="K106" s="295"/>
      <c r="L106" s="295"/>
      <c r="M106" s="295"/>
      <c r="N106" s="295"/>
      <c r="O106" s="295"/>
      <c r="P106" s="343"/>
      <c r="Q106" s="295"/>
      <c r="R106" s="295"/>
      <c r="S106" s="295"/>
      <c r="T106" s="295"/>
      <c r="U106" s="443"/>
      <c r="V106" s="443"/>
      <c r="X106" s="363">
        <f t="shared" si="37"/>
        <v>0</v>
      </c>
    </row>
    <row r="107" spans="3:24" ht="15.75" customHeight="1">
      <c r="C107" s="81">
        <v>43067</v>
      </c>
      <c r="D107" s="29">
        <v>5169</v>
      </c>
      <c r="G107" s="439"/>
      <c r="H107" s="439"/>
      <c r="I107" s="118"/>
      <c r="J107" s="296"/>
      <c r="K107" s="296"/>
      <c r="L107" s="296"/>
      <c r="M107" s="296"/>
      <c r="N107" s="296"/>
      <c r="O107" s="296"/>
      <c r="P107" s="344"/>
      <c r="Q107" s="296"/>
      <c r="R107" s="296"/>
      <c r="S107" s="296"/>
      <c r="T107" s="296"/>
      <c r="U107" s="443"/>
      <c r="V107" s="443"/>
      <c r="X107" s="363">
        <f t="shared" si="37"/>
        <v>0</v>
      </c>
    </row>
    <row r="108" spans="3:24" ht="15.75" customHeight="1">
      <c r="C108" s="81"/>
      <c r="F108" s="68"/>
      <c r="G108" s="444"/>
      <c r="H108" s="444"/>
      <c r="I108" s="124"/>
      <c r="J108" s="295"/>
      <c r="K108" s="295"/>
      <c r="L108" s="295"/>
      <c r="M108" s="295"/>
      <c r="N108" s="295"/>
      <c r="O108" s="295"/>
      <c r="P108" s="343"/>
      <c r="Q108" s="295"/>
      <c r="R108" s="295"/>
      <c r="S108" s="295"/>
      <c r="T108" s="295"/>
      <c r="X108" s="363">
        <f t="shared" si="37"/>
        <v>0</v>
      </c>
    </row>
    <row r="109" spans="2:24" ht="18" customHeight="1">
      <c r="B109" s="437" t="s">
        <v>56</v>
      </c>
      <c r="C109" s="438"/>
      <c r="D109" s="133">
        <f>374516.26/1000</f>
        <v>374.51626</v>
      </c>
      <c r="E109" s="69"/>
      <c r="F109" s="125" t="s">
        <v>107</v>
      </c>
      <c r="G109" s="439"/>
      <c r="H109" s="439"/>
      <c r="I109" s="126"/>
      <c r="J109" s="295"/>
      <c r="K109" s="295"/>
      <c r="L109" s="295"/>
      <c r="M109" s="295"/>
      <c r="N109" s="295"/>
      <c r="O109" s="295"/>
      <c r="P109" s="343"/>
      <c r="Q109" s="295"/>
      <c r="R109" s="295"/>
      <c r="S109" s="295"/>
      <c r="T109" s="295"/>
      <c r="X109" s="363">
        <f t="shared" si="37"/>
        <v>0</v>
      </c>
    </row>
    <row r="110" spans="6:24" ht="9.75" customHeight="1">
      <c r="F110" s="68"/>
      <c r="G110" s="439"/>
      <c r="H110" s="439"/>
      <c r="I110" s="68"/>
      <c r="J110" s="69"/>
      <c r="K110" s="69"/>
      <c r="L110" s="69"/>
      <c r="M110" s="69"/>
      <c r="N110" s="69"/>
      <c r="O110" s="69"/>
      <c r="P110" s="345"/>
      <c r="Q110" s="69"/>
      <c r="R110" s="69"/>
      <c r="S110" s="69"/>
      <c r="X110" s="363">
        <f t="shared" si="37"/>
        <v>0</v>
      </c>
    </row>
    <row r="111" spans="2:24" ht="22.5" customHeight="1" hidden="1">
      <c r="B111" s="440" t="s">
        <v>59</v>
      </c>
      <c r="C111" s="441"/>
      <c r="D111" s="80">
        <v>0</v>
      </c>
      <c r="E111" s="51" t="s">
        <v>24</v>
      </c>
      <c r="F111" s="68"/>
      <c r="G111" s="439"/>
      <c r="H111" s="439"/>
      <c r="I111" s="68"/>
      <c r="J111" s="69"/>
      <c r="K111" s="69"/>
      <c r="L111" s="69"/>
      <c r="M111" s="69"/>
      <c r="N111" s="69"/>
      <c r="O111" s="69"/>
      <c r="P111" s="345"/>
      <c r="Q111" s="69"/>
      <c r="R111" s="69"/>
      <c r="S111" s="69"/>
      <c r="X111" s="363">
        <f t="shared" si="37"/>
        <v>0</v>
      </c>
    </row>
    <row r="112" spans="2:24" ht="15" hidden="1">
      <c r="B112" s="285" t="s">
        <v>195</v>
      </c>
      <c r="D112" s="68">
        <f>D60+D63+D64</f>
        <v>1530</v>
      </c>
      <c r="E112" s="68">
        <f>E60+E63+E64</f>
        <v>1484</v>
      </c>
      <c r="F112" s="203">
        <f>F60+F63+F64</f>
        <v>1748.4099999999999</v>
      </c>
      <c r="G112" s="68">
        <f>G60+G63+G64</f>
        <v>264.41</v>
      </c>
      <c r="H112" s="69"/>
      <c r="I112" s="69"/>
      <c r="T112" s="29">
        <f>T60+T63+T64</f>
        <v>506</v>
      </c>
      <c r="U112" s="202">
        <f>U60+U63+U64</f>
        <v>178.62999999999994</v>
      </c>
      <c r="V112" s="29">
        <f>V60+V63+V64</f>
        <v>-327.37000000000006</v>
      </c>
      <c r="X112" s="363">
        <f t="shared" si="37"/>
        <v>0</v>
      </c>
    </row>
    <row r="113" spans="4:24" ht="15" hidden="1">
      <c r="D113" s="78"/>
      <c r="I113" s="29"/>
      <c r="U113" s="476"/>
      <c r="V113" s="476"/>
      <c r="X113" s="363">
        <f t="shared" si="37"/>
        <v>0</v>
      </c>
    </row>
    <row r="114" spans="2:24" ht="15" hidden="1">
      <c r="B114" s="4" t="s">
        <v>119</v>
      </c>
      <c r="D114" s="29">
        <f>D9+D15+D18+D19+D23+D54+D57+D77+D71</f>
        <v>1294791.6</v>
      </c>
      <c r="E114" s="29">
        <f>E9+E15+E18+E19+E23+E54+E57+E77+E71</f>
        <v>1183174.9000000001</v>
      </c>
      <c r="F114" s="229">
        <f>F9+F15+F18+F19+F23+F54+F57+F77+F71</f>
        <v>1208875.1699999997</v>
      </c>
      <c r="G114" s="29">
        <f>F114-E114</f>
        <v>25700.269999999553</v>
      </c>
      <c r="H114" s="230">
        <f>F114/E114</f>
        <v>1.02172144625448</v>
      </c>
      <c r="I114" s="29">
        <f>F114-D114</f>
        <v>-85916.4300000004</v>
      </c>
      <c r="J114" s="230">
        <f>F114/D114</f>
        <v>0.9336445880557146</v>
      </c>
      <c r="K114" s="230"/>
      <c r="L114" s="230"/>
      <c r="M114" s="230"/>
      <c r="N114" s="230"/>
      <c r="O114" s="230"/>
      <c r="T114" s="29">
        <f>T9+T15+T17+T18+T19+T23+T54+T57+T77+T71</f>
        <v>118135.2</v>
      </c>
      <c r="U114" s="229">
        <f>U9+U15+U17+U18+U19+U23+U54+U57+U77+U71</f>
        <v>131328.93999999997</v>
      </c>
      <c r="V114" s="29">
        <f>U114-T114</f>
        <v>13193.739999999976</v>
      </c>
      <c r="W114" s="230">
        <f>U114/T114</f>
        <v>1.1116833932646661</v>
      </c>
      <c r="X114" s="363">
        <f t="shared" si="37"/>
        <v>0</v>
      </c>
    </row>
    <row r="115" spans="2:24" ht="15" hidden="1">
      <c r="B115" s="4" t="s">
        <v>120</v>
      </c>
      <c r="D115" s="29">
        <f>D55+D56+D58+D60+D62+D63+D64+D65+D66+D72+D76+D59+D78</f>
        <v>62676.5</v>
      </c>
      <c r="E115" s="29">
        <f>E55+E56+E58+E60+E62+E63+E64+E65+E66+E72+E76+E59+E78</f>
        <v>61559.4</v>
      </c>
      <c r="F115" s="229">
        <f>F55+F56+F58+F60+F62+F63+F64+F65+F66+F72+F76+F59+F78</f>
        <v>60012.6</v>
      </c>
      <c r="G115" s="29">
        <f>G55+G56+G58+G60+G62+G63+G64+G65+G66+G72+G76+G59</f>
        <v>-1541.8000000000018</v>
      </c>
      <c r="H115" s="230">
        <f>F115/E115</f>
        <v>0.9748730494449264</v>
      </c>
      <c r="I115" s="29">
        <f>I55+I56+I58+I60+I62+I63+I64+I65+I66+I72+I76+I59</f>
        <v>-2658.900000000002</v>
      </c>
      <c r="J115" s="230">
        <f>F115/D115</f>
        <v>0.957497626702193</v>
      </c>
      <c r="K115" s="230"/>
      <c r="L115" s="230"/>
      <c r="M115" s="230"/>
      <c r="N115" s="230"/>
      <c r="O115" s="230"/>
      <c r="Q115" s="29">
        <f>Q55+Q56+Q58+Q60+Q62+Q63+Q64+Q65+Q66+Q72+Q76+Q59</f>
        <v>60534.17000000001</v>
      </c>
      <c r="R115" s="29">
        <f>R55+R56+R58+R60+R62+R63+R64+R65+R66+R72+R76+R59</f>
        <v>-516.5700000000022</v>
      </c>
      <c r="S115" s="29">
        <f>S55+S56+S58+S60+S62+S63+S64+S65+S66+S72+S76+S59</f>
        <v>20.34811763501909</v>
      </c>
      <c r="T115" s="29">
        <f>T55+T56+T58+T60+T62+T63+T64+T65+T66+T72+T76+T59+T78</f>
        <v>11827.8</v>
      </c>
      <c r="U115" s="229">
        <f>U55+U56+U58+U60+U62+U63+U64+U65+U66+U72+U76+U59+U78</f>
        <v>5538.549999999999</v>
      </c>
      <c r="V115" s="29">
        <f>V55+V56+V58+V60+V62+V63+V64+V65+V66+V72+V76+V59</f>
        <v>-6289.280000000001</v>
      </c>
      <c r="W115" s="230">
        <f>U115/T115</f>
        <v>0.4682654424322359</v>
      </c>
      <c r="X115" s="363">
        <f t="shared" si="37"/>
        <v>20.34811763501909</v>
      </c>
    </row>
    <row r="116" spans="2:24" ht="15" hidden="1">
      <c r="B116" s="4" t="s">
        <v>121</v>
      </c>
      <c r="D116" s="29">
        <f>SUM(D114:D115)</f>
        <v>1357468.1</v>
      </c>
      <c r="E116" s="29" t="e">
        <f>#N/A</f>
        <v>#N/A</v>
      </c>
      <c r="F116" s="229" t="e">
        <f>#N/A</f>
        <v>#N/A</v>
      </c>
      <c r="G116" s="29" t="e">
        <f>#N/A</f>
        <v>#N/A</v>
      </c>
      <c r="H116" s="230" t="e">
        <f>F116/E116</f>
        <v>#N/A</v>
      </c>
      <c r="I116" s="29" t="e">
        <f>#N/A</f>
        <v>#N/A</v>
      </c>
      <c r="J116" s="230" t="e">
        <f>F116/D116</f>
        <v>#N/A</v>
      </c>
      <c r="K116" s="230"/>
      <c r="L116" s="230"/>
      <c r="M116" s="230"/>
      <c r="N116" s="230"/>
      <c r="O116" s="230"/>
      <c r="Q116" s="29" t="e">
        <f>#N/A</f>
        <v>#N/A</v>
      </c>
      <c r="R116" s="29" t="e">
        <f>#N/A</f>
        <v>#N/A</v>
      </c>
      <c r="S116" s="29" t="e">
        <f>#N/A</f>
        <v>#N/A</v>
      </c>
      <c r="T116" s="29" t="e">
        <f>#N/A</f>
        <v>#N/A</v>
      </c>
      <c r="U116" s="229" t="e">
        <f>#N/A</f>
        <v>#N/A</v>
      </c>
      <c r="V116" s="29" t="e">
        <f>#N/A</f>
        <v>#N/A</v>
      </c>
      <c r="W116" s="230" t="e">
        <f>U116/T116</f>
        <v>#N/A</v>
      </c>
      <c r="X116" s="363" t="e">
        <f t="shared" si="37"/>
        <v>#N/A</v>
      </c>
    </row>
    <row r="117" spans="4:24" ht="15" hidden="1">
      <c r="D117" s="29">
        <f>D79-D116</f>
        <v>23</v>
      </c>
      <c r="E117" s="29" t="e">
        <f>#N/A</f>
        <v>#N/A</v>
      </c>
      <c r="F117" s="29" t="e">
        <f>#N/A</f>
        <v>#N/A</v>
      </c>
      <c r="G117" s="29" t="e">
        <f>#N/A</f>
        <v>#N/A</v>
      </c>
      <c r="H117" s="230"/>
      <c r="I117" s="29" t="e">
        <f>#N/A</f>
        <v>#N/A</v>
      </c>
      <c r="J117" s="230"/>
      <c r="K117" s="230"/>
      <c r="L117" s="230"/>
      <c r="M117" s="230"/>
      <c r="N117" s="230"/>
      <c r="O117" s="230"/>
      <c r="Q117" s="29" t="e">
        <f>Q79-Q116</f>
        <v>#N/A</v>
      </c>
      <c r="R117" s="29" t="e">
        <f>#N/A</f>
        <v>#N/A</v>
      </c>
      <c r="S117" s="29" t="e">
        <f>#N/A</f>
        <v>#N/A</v>
      </c>
      <c r="T117" s="29" t="e">
        <f>#N/A</f>
        <v>#N/A</v>
      </c>
      <c r="U117" s="29" t="e">
        <f>#N/A</f>
        <v>#N/A</v>
      </c>
      <c r="V117" s="29" t="e">
        <f>#N/A</f>
        <v>#N/A</v>
      </c>
      <c r="W117" s="29"/>
      <c r="X117" s="363" t="e">
        <f t="shared" si="37"/>
        <v>#N/A</v>
      </c>
    </row>
    <row r="118" spans="5:24" ht="15" hidden="1">
      <c r="E118" s="4" t="s">
        <v>58</v>
      </c>
      <c r="X118" s="363">
        <f t="shared" si="37"/>
        <v>0</v>
      </c>
    </row>
    <row r="119" spans="2:24" ht="15" hidden="1">
      <c r="B119" s="245" t="s">
        <v>165</v>
      </c>
      <c r="E119" s="29">
        <f>E79-E9-E20-E35-E47</f>
        <v>139284.30000000005</v>
      </c>
      <c r="X119" s="363">
        <f t="shared" si="37"/>
        <v>0</v>
      </c>
    </row>
    <row r="120" spans="2:24" ht="15" hidden="1">
      <c r="B120" s="245" t="s">
        <v>166</v>
      </c>
      <c r="E120" s="29">
        <f>E100-E95-E88-E89</f>
        <v>55383</v>
      </c>
      <c r="X120" s="363">
        <f t="shared" si="37"/>
        <v>0</v>
      </c>
    </row>
    <row r="121" ht="15" hidden="1">
      <c r="X121" s="363">
        <f t="shared" si="37"/>
        <v>0</v>
      </c>
    </row>
    <row r="122" spans="2:24" ht="18" hidden="1">
      <c r="B122" s="122" t="s">
        <v>157</v>
      </c>
      <c r="C122" s="43">
        <v>25000000</v>
      </c>
      <c r="D122" s="180">
        <v>72408.22</v>
      </c>
      <c r="E122" s="180">
        <v>18102.06</v>
      </c>
      <c r="F122" s="181">
        <v>20254.32</v>
      </c>
      <c r="G122" s="162">
        <f>F122-E122</f>
        <v>2152.2599999999984</v>
      </c>
      <c r="H122" s="164">
        <f>F122/E122*100</f>
        <v>111.88958604711286</v>
      </c>
      <c r="I122" s="167">
        <f>F122-D122</f>
        <v>-52153.9</v>
      </c>
      <c r="J122" s="167">
        <f>F122/D122*100</f>
        <v>27.972404238082362</v>
      </c>
      <c r="K122" s="167"/>
      <c r="L122" s="167"/>
      <c r="M122" s="167"/>
      <c r="N122" s="167"/>
      <c r="O122" s="167"/>
      <c r="P122" s="209"/>
      <c r="Q122" s="167"/>
      <c r="R122" s="167"/>
      <c r="S122" s="268"/>
      <c r="T122" s="266"/>
      <c r="U122" s="266"/>
      <c r="V122" s="267"/>
      <c r="W122" s="267"/>
      <c r="X122" s="363">
        <f t="shared" si="37"/>
        <v>0</v>
      </c>
    </row>
    <row r="123" spans="2:24" ht="23.25" customHeight="1" hidden="1">
      <c r="B123" s="14" t="s">
        <v>31</v>
      </c>
      <c r="C123" s="66"/>
      <c r="D123" s="191">
        <f>D100+D122</f>
        <v>288316.95999999996</v>
      </c>
      <c r="E123" s="191">
        <f>E100+E122</f>
        <v>171318.07</v>
      </c>
      <c r="F123" s="191">
        <f>F100+F122</f>
        <v>52914.14</v>
      </c>
      <c r="G123" s="192">
        <f>F123-E123</f>
        <v>-118403.93000000001</v>
      </c>
      <c r="H123" s="193">
        <f>F123/E123*100</f>
        <v>30.886490841275528</v>
      </c>
      <c r="I123" s="194">
        <f>F123-D123</f>
        <v>-235402.81999999995</v>
      </c>
      <c r="J123" s="194">
        <f>F123/D123*100</f>
        <v>18.352767038054232</v>
      </c>
      <c r="K123" s="194"/>
      <c r="L123" s="194"/>
      <c r="M123" s="194"/>
      <c r="N123" s="194"/>
      <c r="O123" s="194"/>
      <c r="P123" s="221"/>
      <c r="Q123" s="194">
        <v>3039.87</v>
      </c>
      <c r="R123" s="194">
        <f>F123-Q123</f>
        <v>49874.27</v>
      </c>
      <c r="S123" s="269">
        <f>F123/Q123</f>
        <v>17.40671147121423</v>
      </c>
      <c r="T123" s="272"/>
      <c r="U123" s="272"/>
      <c r="V123" s="273"/>
      <c r="W123" s="273"/>
      <c r="X123" s="363">
        <f t="shared" si="37"/>
        <v>17.40671147121423</v>
      </c>
    </row>
    <row r="124" spans="2:24" ht="17.25" hidden="1">
      <c r="B124" s="21" t="s">
        <v>181</v>
      </c>
      <c r="C124" s="66"/>
      <c r="D124" s="191">
        <f>D123+D79</f>
        <v>1645808.06</v>
      </c>
      <c r="E124" s="191">
        <f>E123+E79</f>
        <v>1416075.37</v>
      </c>
      <c r="F124" s="191">
        <f>F123+F79</f>
        <v>1321825.7799999996</v>
      </c>
      <c r="G124" s="192">
        <f>F124-E124</f>
        <v>-94249.59000000055</v>
      </c>
      <c r="H124" s="193">
        <f>F124/E124*100</f>
        <v>93.34430977356801</v>
      </c>
      <c r="I124" s="194">
        <f>F124-D124</f>
        <v>-323982.2800000005</v>
      </c>
      <c r="J124" s="194">
        <f>F124/D124*100</f>
        <v>80.31469842236643</v>
      </c>
      <c r="K124" s="194"/>
      <c r="L124" s="194"/>
      <c r="M124" s="194"/>
      <c r="N124" s="194"/>
      <c r="O124" s="194"/>
      <c r="P124" s="221"/>
      <c r="Q124" s="194">
        <f>Q101+Q123</f>
        <v>985105.96</v>
      </c>
      <c r="R124" s="194">
        <f>F124-Q124</f>
        <v>336719.8199999996</v>
      </c>
      <c r="S124" s="269">
        <f>F124/Q124</f>
        <v>1.3418107631792215</v>
      </c>
      <c r="T124" s="274"/>
      <c r="U124" s="274"/>
      <c r="V124" s="273"/>
      <c r="W124" s="273"/>
      <c r="X124" s="363">
        <f t="shared" si="37"/>
        <v>1.3418107631792215</v>
      </c>
    </row>
    <row r="125" spans="2:24" ht="15" hidden="1">
      <c r="B125" s="241" t="s">
        <v>183</v>
      </c>
      <c r="C125" s="239">
        <v>40000000</v>
      </c>
      <c r="D125" s="244" t="e">
        <f>#N/A</f>
        <v>#N/A</v>
      </c>
      <c r="E125" s="244" t="e">
        <f>#N/A</f>
        <v>#N/A</v>
      </c>
      <c r="F125" s="244" t="e">
        <f>#N/A</f>
        <v>#N/A</v>
      </c>
      <c r="G125" s="244" t="e">
        <f>#N/A</f>
        <v>#N/A</v>
      </c>
      <c r="H125" s="244" t="e">
        <f>F125/E125*100</f>
        <v>#N/A</v>
      </c>
      <c r="I125" s="36" t="e">
        <f>#N/A</f>
        <v>#N/A</v>
      </c>
      <c r="J125" s="36" t="e">
        <f>F125/D125*100</f>
        <v>#N/A</v>
      </c>
      <c r="K125" s="313"/>
      <c r="L125" s="313"/>
      <c r="M125" s="313"/>
      <c r="N125" s="313"/>
      <c r="O125" s="313"/>
      <c r="P125" s="346"/>
      <c r="W125" s="89"/>
      <c r="X125" s="363">
        <f t="shared" si="37"/>
        <v>0</v>
      </c>
    </row>
    <row r="126" spans="2:24" ht="15" customHeight="1" hidden="1">
      <c r="B126" s="240" t="s">
        <v>154</v>
      </c>
      <c r="C126" s="239">
        <v>41000000</v>
      </c>
      <c r="D126" s="244" t="e">
        <f>#N/A</f>
        <v>#N/A</v>
      </c>
      <c r="E126" s="244" t="e">
        <f>#N/A</f>
        <v>#N/A</v>
      </c>
      <c r="F126" s="244" t="e">
        <f>#N/A</f>
        <v>#N/A</v>
      </c>
      <c r="G126" s="244" t="e">
        <f>#N/A</f>
        <v>#N/A</v>
      </c>
      <c r="H126" s="244" t="e">
        <f>#N/A</f>
        <v>#N/A</v>
      </c>
      <c r="I126" s="36" t="e">
        <f>#N/A</f>
        <v>#N/A</v>
      </c>
      <c r="J126" s="36" t="e">
        <f>#N/A</f>
        <v>#N/A</v>
      </c>
      <c r="K126" s="313"/>
      <c r="L126" s="313"/>
      <c r="M126" s="313"/>
      <c r="N126" s="313"/>
      <c r="O126" s="313"/>
      <c r="P126" s="346"/>
      <c r="W126" s="89"/>
      <c r="X126" s="363">
        <f t="shared" si="37"/>
        <v>0</v>
      </c>
    </row>
    <row r="127" spans="2:24" ht="15" hidden="1">
      <c r="B127" s="240" t="s">
        <v>155</v>
      </c>
      <c r="C127" s="239">
        <v>41030000</v>
      </c>
      <c r="D127" s="244">
        <f>SUM(D128:D135)</f>
        <v>1222868.6900000002</v>
      </c>
      <c r="E127" s="244">
        <f>SUM(E128:E135)</f>
        <v>550655.6</v>
      </c>
      <c r="F127" s="244">
        <f>SUM(F128:F135)</f>
        <v>545829.08</v>
      </c>
      <c r="G127" s="244" t="e">
        <f>#N/A</f>
        <v>#N/A</v>
      </c>
      <c r="H127" s="244" t="e">
        <f>#N/A</f>
        <v>#N/A</v>
      </c>
      <c r="I127" s="36" t="e">
        <f>#N/A</f>
        <v>#N/A</v>
      </c>
      <c r="J127" s="36" t="e">
        <f>#N/A</f>
        <v>#N/A</v>
      </c>
      <c r="K127" s="313"/>
      <c r="L127" s="313"/>
      <c r="M127" s="313"/>
      <c r="N127" s="313"/>
      <c r="O127" s="313"/>
      <c r="P127" s="346"/>
      <c r="W127" s="89"/>
      <c r="X127" s="363">
        <f t="shared" si="37"/>
        <v>0</v>
      </c>
    </row>
    <row r="128" spans="2:24" ht="63.75" hidden="1">
      <c r="B128" s="240" t="s">
        <v>177</v>
      </c>
      <c r="C128" s="239">
        <v>41030600</v>
      </c>
      <c r="D128" s="244">
        <v>311813.4</v>
      </c>
      <c r="E128" s="244">
        <v>74842.5</v>
      </c>
      <c r="F128" s="244">
        <v>71108.47</v>
      </c>
      <c r="G128" s="244" t="e">
        <f>#N/A</f>
        <v>#N/A</v>
      </c>
      <c r="H128" s="244" t="e">
        <f>#N/A</f>
        <v>#N/A</v>
      </c>
      <c r="I128" s="36" t="e">
        <f>#N/A</f>
        <v>#N/A</v>
      </c>
      <c r="J128" s="36" t="e">
        <f>#N/A</f>
        <v>#N/A</v>
      </c>
      <c r="K128" s="313"/>
      <c r="L128" s="313"/>
      <c r="M128" s="313"/>
      <c r="N128" s="313"/>
      <c r="O128" s="313"/>
      <c r="P128" s="346"/>
      <c r="W128" s="89"/>
      <c r="X128" s="363">
        <f t="shared" si="37"/>
        <v>0</v>
      </c>
    </row>
    <row r="129" spans="2:24" ht="63.75" hidden="1">
      <c r="B129" s="240" t="s">
        <v>159</v>
      </c>
      <c r="C129" s="239">
        <v>41030800</v>
      </c>
      <c r="D129" s="244">
        <v>408648.2</v>
      </c>
      <c r="E129" s="244">
        <v>354918.91</v>
      </c>
      <c r="F129" s="244">
        <v>354211.24</v>
      </c>
      <c r="G129" s="244" t="e">
        <f>#N/A</f>
        <v>#N/A</v>
      </c>
      <c r="H129" s="244" t="e">
        <f>#N/A</f>
        <v>#N/A</v>
      </c>
      <c r="I129" s="36" t="e">
        <f>#N/A</f>
        <v>#N/A</v>
      </c>
      <c r="J129" s="36" t="e">
        <f>#N/A</f>
        <v>#N/A</v>
      </c>
      <c r="K129" s="313"/>
      <c r="L129" s="313"/>
      <c r="M129" s="313"/>
      <c r="N129" s="313"/>
      <c r="O129" s="313"/>
      <c r="P129" s="346"/>
      <c r="W129" s="89"/>
      <c r="X129" s="363">
        <f t="shared" si="37"/>
        <v>0</v>
      </c>
    </row>
    <row r="130" spans="2:24" ht="51.75" hidden="1">
      <c r="B130" s="240" t="s">
        <v>178</v>
      </c>
      <c r="C130" s="239">
        <v>41031000</v>
      </c>
      <c r="D130" s="244">
        <v>227.7</v>
      </c>
      <c r="E130" s="244">
        <v>57</v>
      </c>
      <c r="F130" s="244">
        <v>40.84</v>
      </c>
      <c r="G130" s="244" t="e">
        <f>#N/A</f>
        <v>#N/A</v>
      </c>
      <c r="H130" s="244" t="e">
        <f>#N/A</f>
        <v>#N/A</v>
      </c>
      <c r="I130" s="36" t="e">
        <f>#N/A</f>
        <v>#N/A</v>
      </c>
      <c r="J130" s="36" t="e">
        <f>#N/A</f>
        <v>#N/A</v>
      </c>
      <c r="K130" s="313"/>
      <c r="L130" s="313"/>
      <c r="M130" s="313"/>
      <c r="N130" s="313"/>
      <c r="O130" s="313"/>
      <c r="P130" s="346"/>
      <c r="W130" s="89"/>
      <c r="X130" s="363">
        <f t="shared" si="37"/>
        <v>0</v>
      </c>
    </row>
    <row r="131" spans="2:24" ht="26.25" hidden="1">
      <c r="B131" s="240" t="s">
        <v>160</v>
      </c>
      <c r="C131" s="239">
        <v>41033900</v>
      </c>
      <c r="D131" s="244">
        <v>243334.5</v>
      </c>
      <c r="E131" s="244">
        <v>56191.6</v>
      </c>
      <c r="F131" s="244">
        <v>56191.6</v>
      </c>
      <c r="G131" s="244" t="e">
        <f>#N/A</f>
        <v>#N/A</v>
      </c>
      <c r="H131" s="244" t="e">
        <f>#N/A</f>
        <v>#N/A</v>
      </c>
      <c r="I131" s="36" t="e">
        <f>#N/A</f>
        <v>#N/A</v>
      </c>
      <c r="J131" s="36" t="e">
        <f>#N/A</f>
        <v>#N/A</v>
      </c>
      <c r="K131" s="313"/>
      <c r="L131" s="313"/>
      <c r="M131" s="313"/>
      <c r="N131" s="313"/>
      <c r="O131" s="313"/>
      <c r="P131" s="346"/>
      <c r="W131" s="89"/>
      <c r="X131" s="363">
        <f t="shared" si="37"/>
        <v>0</v>
      </c>
    </row>
    <row r="132" spans="2:24" ht="26.25" hidden="1">
      <c r="B132" s="240" t="s">
        <v>161</v>
      </c>
      <c r="C132" s="239">
        <v>41034200</v>
      </c>
      <c r="D132" s="244">
        <v>238249.5</v>
      </c>
      <c r="E132" s="244">
        <v>59541.9</v>
      </c>
      <c r="F132" s="244">
        <v>59541.9</v>
      </c>
      <c r="G132" s="244" t="e">
        <f>#N/A</f>
        <v>#N/A</v>
      </c>
      <c r="H132" s="244" t="e">
        <f>#N/A</f>
        <v>#N/A</v>
      </c>
      <c r="I132" s="36" t="e">
        <f>#N/A</f>
        <v>#N/A</v>
      </c>
      <c r="J132" s="36" t="e">
        <f>#N/A</f>
        <v>#N/A</v>
      </c>
      <c r="K132" s="313"/>
      <c r="L132" s="313"/>
      <c r="M132" s="313"/>
      <c r="N132" s="313"/>
      <c r="O132" s="313"/>
      <c r="P132" s="346"/>
      <c r="W132" s="89"/>
      <c r="X132" s="363">
        <f t="shared" si="37"/>
        <v>0</v>
      </c>
    </row>
    <row r="133" spans="2:24" ht="15" hidden="1">
      <c r="B133" s="240" t="s">
        <v>156</v>
      </c>
      <c r="C133" s="239">
        <v>41035000</v>
      </c>
      <c r="D133" s="244">
        <v>16239.09</v>
      </c>
      <c r="E133" s="244">
        <v>4193.79</v>
      </c>
      <c r="F133" s="244">
        <v>3733.65</v>
      </c>
      <c r="G133" s="244" t="e">
        <f>#N/A</f>
        <v>#N/A</v>
      </c>
      <c r="H133" s="244" t="e">
        <f>#N/A</f>
        <v>#N/A</v>
      </c>
      <c r="I133" s="36" t="e">
        <f>#N/A</f>
        <v>#N/A</v>
      </c>
      <c r="J133" s="36" t="e">
        <f>#N/A</f>
        <v>#N/A</v>
      </c>
      <c r="K133" s="313"/>
      <c r="L133" s="313"/>
      <c r="M133" s="313"/>
      <c r="N133" s="313"/>
      <c r="O133" s="313"/>
      <c r="P133" s="346"/>
      <c r="W133" s="89"/>
      <c r="X133" s="363">
        <f t="shared" si="37"/>
        <v>0</v>
      </c>
    </row>
    <row r="134" spans="2:24" ht="39" hidden="1">
      <c r="B134" s="240" t="s">
        <v>180</v>
      </c>
      <c r="C134" s="239">
        <v>41035400</v>
      </c>
      <c r="D134" s="244">
        <v>0</v>
      </c>
      <c r="E134" s="244">
        <v>0</v>
      </c>
      <c r="F134" s="244">
        <v>165.7</v>
      </c>
      <c r="G134" s="244" t="e">
        <f>#N/A</f>
        <v>#N/A</v>
      </c>
      <c r="H134" s="244" t="e">
        <f>#N/A</f>
        <v>#N/A</v>
      </c>
      <c r="I134" s="36" t="e">
        <f>#N/A</f>
        <v>#N/A</v>
      </c>
      <c r="J134" s="36" t="e">
        <f>#N/A</f>
        <v>#N/A</v>
      </c>
      <c r="K134" s="313"/>
      <c r="L134" s="313"/>
      <c r="M134" s="313"/>
      <c r="N134" s="313"/>
      <c r="O134" s="313"/>
      <c r="P134" s="346"/>
      <c r="W134" s="89"/>
      <c r="X134" s="363">
        <f t="shared" si="37"/>
        <v>0</v>
      </c>
    </row>
    <row r="135" spans="2:24" ht="63.75" hidden="1">
      <c r="B135" s="240" t="s">
        <v>179</v>
      </c>
      <c r="C135" s="239">
        <v>41035800</v>
      </c>
      <c r="D135" s="244">
        <v>4356.3</v>
      </c>
      <c r="E135" s="244">
        <v>909.9</v>
      </c>
      <c r="F135" s="244">
        <v>835.68</v>
      </c>
      <c r="G135" s="244" t="e">
        <f>#N/A</f>
        <v>#N/A</v>
      </c>
      <c r="H135" s="244" t="e">
        <f>#N/A</f>
        <v>#N/A</v>
      </c>
      <c r="I135" s="36" t="e">
        <f>#N/A</f>
        <v>#N/A</v>
      </c>
      <c r="J135" s="36" t="e">
        <f>#N/A</f>
        <v>#N/A</v>
      </c>
      <c r="K135" s="313"/>
      <c r="L135" s="313"/>
      <c r="M135" s="313"/>
      <c r="N135" s="313"/>
      <c r="O135" s="313"/>
      <c r="P135" s="346"/>
      <c r="W135" s="89"/>
      <c r="X135" s="363">
        <f t="shared" si="37"/>
        <v>0</v>
      </c>
    </row>
    <row r="136" spans="2:24" s="242" customFormat="1" ht="25.5" customHeight="1" hidden="1">
      <c r="B136" s="275" t="s">
        <v>158</v>
      </c>
      <c r="C136" s="276"/>
      <c r="D136" s="277" t="e">
        <f>D124+D125</f>
        <v>#N/A</v>
      </c>
      <c r="E136" s="277" t="e">
        <f>E124+E125</f>
        <v>#N/A</v>
      </c>
      <c r="F136" s="277" t="e">
        <f>F124+F125</f>
        <v>#N/A</v>
      </c>
      <c r="G136" s="278" t="e">
        <f>#N/A</f>
        <v>#N/A</v>
      </c>
      <c r="H136" s="277" t="e">
        <f>#N/A</f>
        <v>#N/A</v>
      </c>
      <c r="I136" s="279" t="e">
        <f>#N/A</f>
        <v>#N/A</v>
      </c>
      <c r="J136" s="279" t="e">
        <f>#N/A</f>
        <v>#N/A</v>
      </c>
      <c r="K136" s="314"/>
      <c r="L136" s="314"/>
      <c r="M136" s="314"/>
      <c r="N136" s="314"/>
      <c r="O136" s="314"/>
      <c r="P136" s="347"/>
      <c r="W136" s="243"/>
      <c r="X136" s="363">
        <f t="shared" si="37"/>
        <v>0</v>
      </c>
    </row>
    <row r="137" ht="15" hidden="1">
      <c r="X137" s="363">
        <f t="shared" si="37"/>
        <v>0</v>
      </c>
    </row>
    <row r="138" ht="15" hidden="1">
      <c r="X138" s="363">
        <f t="shared" si="37"/>
        <v>0</v>
      </c>
    </row>
    <row r="139" ht="15" hidden="1">
      <c r="X139" s="363">
        <f t="shared" si="37"/>
        <v>0</v>
      </c>
    </row>
    <row r="140" ht="15" hidden="1">
      <c r="X140" s="363">
        <f t="shared" si="37"/>
        <v>0</v>
      </c>
    </row>
    <row r="141" ht="15" hidden="1">
      <c r="X141" s="363">
        <f t="shared" si="37"/>
        <v>0</v>
      </c>
    </row>
    <row r="142" ht="15" hidden="1">
      <c r="X142" s="363">
        <f t="shared" si="37"/>
        <v>0</v>
      </c>
    </row>
    <row r="143" spans="2:24" ht="15" hidden="1">
      <c r="B143" s="360" t="s">
        <v>254</v>
      </c>
      <c r="X143" s="363">
        <f t="shared" si="37"/>
        <v>0</v>
      </c>
    </row>
    <row r="144" spans="1:24" s="6" customFormat="1" ht="30.75" customHeight="1" hidden="1">
      <c r="A144" s="8"/>
      <c r="B144" s="351" t="s">
        <v>116</v>
      </c>
      <c r="C144" s="120">
        <v>13010200</v>
      </c>
      <c r="D144" s="162">
        <v>0</v>
      </c>
      <c r="E144" s="162">
        <v>0</v>
      </c>
      <c r="F144" s="163">
        <v>0.49</v>
      </c>
      <c r="G144" s="150">
        <f aca="true" t="shared" si="38" ref="G144:G152">F144-E144</f>
        <v>0.49</v>
      </c>
      <c r="H144" s="157"/>
      <c r="I144" s="158">
        <f aca="true" t="shared" si="39" ref="I144:I152">F144-D144</f>
        <v>0.49</v>
      </c>
      <c r="J144" s="158"/>
      <c r="K144" s="158"/>
      <c r="L144" s="158"/>
      <c r="M144" s="158"/>
      <c r="N144" s="158">
        <v>0.17</v>
      </c>
      <c r="O144" s="158">
        <f aca="true" t="shared" si="40" ref="O144:O150">D144-N144</f>
        <v>-0.17</v>
      </c>
      <c r="P144" s="210">
        <f aca="true" t="shared" si="41" ref="P144:P150">D144/N144</f>
        <v>0</v>
      </c>
      <c r="Q144" s="167">
        <v>0.17</v>
      </c>
      <c r="R144" s="161">
        <f aca="true" t="shared" si="42" ref="R144:R152">F144-Q144</f>
        <v>0.31999999999999995</v>
      </c>
      <c r="S144" s="208">
        <f>F144/Q144</f>
        <v>2.88235294117647</v>
      </c>
      <c r="T144" s="157">
        <f>E144-серпень!E132</f>
        <v>0</v>
      </c>
      <c r="U144" s="160">
        <f>F144-серпень!F132</f>
        <v>0.49</v>
      </c>
      <c r="V144" s="161">
        <f aca="true" t="shared" si="43" ref="V144:V152">U144-T144</f>
        <v>0.49</v>
      </c>
      <c r="W144" s="158"/>
      <c r="X144" s="363">
        <f t="shared" si="37"/>
        <v>2.88235294117647</v>
      </c>
    </row>
    <row r="145" spans="1:24" s="6" customFormat="1" ht="30.75" hidden="1">
      <c r="A145" s="8"/>
      <c r="B145" s="352" t="s">
        <v>117</v>
      </c>
      <c r="C145" s="43" t="s">
        <v>58</v>
      </c>
      <c r="D145" s="150">
        <v>125</v>
      </c>
      <c r="E145" s="150">
        <v>90</v>
      </c>
      <c r="F145" s="156">
        <v>147.46</v>
      </c>
      <c r="G145" s="150">
        <f t="shared" si="38"/>
        <v>57.46000000000001</v>
      </c>
      <c r="H145" s="157">
        <f>F145/E145*100</f>
        <v>163.84444444444446</v>
      </c>
      <c r="I145" s="158">
        <f t="shared" si="39"/>
        <v>22.460000000000008</v>
      </c>
      <c r="J145" s="158">
        <f>F145/D145*100</f>
        <v>117.968</v>
      </c>
      <c r="K145" s="158"/>
      <c r="L145" s="158"/>
      <c r="M145" s="158"/>
      <c r="N145" s="158">
        <v>124.7</v>
      </c>
      <c r="O145" s="158">
        <f t="shared" si="40"/>
        <v>0.29999999999999716</v>
      </c>
      <c r="P145" s="210">
        <f t="shared" si="41"/>
        <v>1.0024057738572574</v>
      </c>
      <c r="Q145" s="161">
        <v>105.8</v>
      </c>
      <c r="R145" s="161">
        <f t="shared" si="42"/>
        <v>41.66000000000001</v>
      </c>
      <c r="S145" s="208">
        <f>F145/Q145</f>
        <v>1.3937618147448017</v>
      </c>
      <c r="T145" s="157">
        <f>E145-серпень!E133</f>
        <v>90</v>
      </c>
      <c r="U145" s="160">
        <f>F145-серпень!F133</f>
        <v>147.46</v>
      </c>
      <c r="V145" s="161">
        <f t="shared" si="43"/>
        <v>57.46000000000001</v>
      </c>
      <c r="W145" s="158">
        <f>U145/T145*100</f>
        <v>163.84444444444446</v>
      </c>
      <c r="X145" s="363">
        <f t="shared" si="37"/>
        <v>0.3913560408875443</v>
      </c>
    </row>
    <row r="146" spans="1:24" s="6" customFormat="1" ht="18" hidden="1">
      <c r="A146" s="8"/>
      <c r="B146" s="353" t="s">
        <v>61</v>
      </c>
      <c r="C146" s="42">
        <v>21080500</v>
      </c>
      <c r="D146" s="150">
        <v>40</v>
      </c>
      <c r="E146" s="150">
        <v>25</v>
      </c>
      <c r="F146" s="156">
        <v>128.3</v>
      </c>
      <c r="G146" s="150">
        <f t="shared" si="38"/>
        <v>103.30000000000001</v>
      </c>
      <c r="H146" s="164">
        <f>F146/E146*100</f>
        <v>513.2</v>
      </c>
      <c r="I146" s="165">
        <f t="shared" si="39"/>
        <v>88.30000000000001</v>
      </c>
      <c r="J146" s="165">
        <f>F146/D146*100</f>
        <v>320.75000000000006</v>
      </c>
      <c r="K146" s="165"/>
      <c r="L146" s="165"/>
      <c r="M146" s="165"/>
      <c r="N146" s="165">
        <v>31.98</v>
      </c>
      <c r="O146" s="165">
        <f t="shared" si="40"/>
        <v>8.02</v>
      </c>
      <c r="P146" s="218">
        <f t="shared" si="41"/>
        <v>1.2507817385866167</v>
      </c>
      <c r="Q146" s="165">
        <v>31.98</v>
      </c>
      <c r="R146" s="165">
        <f t="shared" si="42"/>
        <v>96.32000000000001</v>
      </c>
      <c r="S146" s="218">
        <f>F146/Q146</f>
        <v>4.011882426516573</v>
      </c>
      <c r="T146" s="157">
        <f>E146-серпень!E134</f>
        <v>25</v>
      </c>
      <c r="U146" s="160">
        <f>F146-серпень!F134</f>
        <v>128.3</v>
      </c>
      <c r="V146" s="161">
        <f t="shared" si="43"/>
        <v>103.30000000000001</v>
      </c>
      <c r="W146" s="165">
        <f>U146/T146</f>
        <v>5.132000000000001</v>
      </c>
      <c r="X146" s="363">
        <f t="shared" si="37"/>
        <v>2.7611006879299564</v>
      </c>
    </row>
    <row r="147" spans="1:24" s="6" customFormat="1" ht="31.5" hidden="1">
      <c r="A147" s="8"/>
      <c r="B147" s="354" t="s">
        <v>39</v>
      </c>
      <c r="C147" s="71">
        <v>21080900</v>
      </c>
      <c r="D147" s="150">
        <f>6.5-6.5</f>
        <v>0</v>
      </c>
      <c r="E147" s="150">
        <v>0</v>
      </c>
      <c r="F147" s="156">
        <v>12.95</v>
      </c>
      <c r="G147" s="150">
        <f t="shared" si="38"/>
        <v>12.95</v>
      </c>
      <c r="H147" s="164"/>
      <c r="I147" s="165">
        <f t="shared" si="39"/>
        <v>12.95</v>
      </c>
      <c r="J147" s="165"/>
      <c r="K147" s="165"/>
      <c r="L147" s="165"/>
      <c r="M147" s="165"/>
      <c r="N147" s="165">
        <v>0.1</v>
      </c>
      <c r="O147" s="165">
        <f t="shared" si="40"/>
        <v>-0.1</v>
      </c>
      <c r="P147" s="218">
        <f t="shared" si="41"/>
        <v>0</v>
      </c>
      <c r="Q147" s="165">
        <v>0.1</v>
      </c>
      <c r="R147" s="165">
        <f t="shared" si="42"/>
        <v>12.85</v>
      </c>
      <c r="S147" s="218"/>
      <c r="T147" s="157">
        <f>E147-серпень!E135</f>
        <v>0</v>
      </c>
      <c r="U147" s="160">
        <f>F147-серпень!F135</f>
        <v>12.95</v>
      </c>
      <c r="V147" s="161">
        <f t="shared" si="43"/>
        <v>12.95</v>
      </c>
      <c r="W147" s="165"/>
      <c r="X147" s="363">
        <f t="shared" si="37"/>
        <v>0</v>
      </c>
    </row>
    <row r="148" spans="1:24" s="6" customFormat="1" ht="18" hidden="1">
      <c r="A148" s="8"/>
      <c r="B148" s="352" t="s">
        <v>16</v>
      </c>
      <c r="C148" s="72">
        <v>21081100</v>
      </c>
      <c r="D148" s="150">
        <v>260</v>
      </c>
      <c r="E148" s="150">
        <v>194</v>
      </c>
      <c r="F148" s="156">
        <v>620.32</v>
      </c>
      <c r="G148" s="150">
        <f t="shared" si="38"/>
        <v>426.32000000000005</v>
      </c>
      <c r="H148" s="164">
        <f>F148/E148*100</f>
        <v>319.75257731958766</v>
      </c>
      <c r="I148" s="165">
        <f t="shared" si="39"/>
        <v>360.32000000000005</v>
      </c>
      <c r="J148" s="165">
        <f>F148/D148*100</f>
        <v>238.5846153846154</v>
      </c>
      <c r="K148" s="165"/>
      <c r="L148" s="165"/>
      <c r="M148" s="165"/>
      <c r="N148" s="165">
        <v>241.07</v>
      </c>
      <c r="O148" s="165">
        <f t="shared" si="40"/>
        <v>18.930000000000007</v>
      </c>
      <c r="P148" s="218">
        <f t="shared" si="41"/>
        <v>1.0785249097772431</v>
      </c>
      <c r="Q148" s="165">
        <v>197.12</v>
      </c>
      <c r="R148" s="165">
        <f t="shared" si="42"/>
        <v>423.20000000000005</v>
      </c>
      <c r="S148" s="218">
        <f aca="true" t="shared" si="44" ref="S148:S153">F148/Q148</f>
        <v>3.1469155844155847</v>
      </c>
      <c r="T148" s="157">
        <f>E148-серпень!E136</f>
        <v>194</v>
      </c>
      <c r="U148" s="160">
        <f>F148-серпень!F136</f>
        <v>620.32</v>
      </c>
      <c r="V148" s="161">
        <f t="shared" si="43"/>
        <v>426.32000000000005</v>
      </c>
      <c r="W148" s="165">
        <f>U148/T148</f>
        <v>3.1975257731958764</v>
      </c>
      <c r="X148" s="363">
        <f t="shared" si="37"/>
        <v>2.0683906746383416</v>
      </c>
    </row>
    <row r="149" spans="1:24" s="6" customFormat="1" ht="46.5" hidden="1">
      <c r="A149" s="8"/>
      <c r="B149" s="352" t="s">
        <v>80</v>
      </c>
      <c r="C149" s="72">
        <v>21081500</v>
      </c>
      <c r="D149" s="150">
        <v>97.5</v>
      </c>
      <c r="E149" s="150">
        <v>74.8</v>
      </c>
      <c r="F149" s="156">
        <v>78.43</v>
      </c>
      <c r="G149" s="150">
        <f t="shared" si="38"/>
        <v>3.6300000000000097</v>
      </c>
      <c r="H149" s="164">
        <f>F149/E149*100</f>
        <v>104.8529411764706</v>
      </c>
      <c r="I149" s="165">
        <f t="shared" si="39"/>
        <v>-19.069999999999993</v>
      </c>
      <c r="J149" s="165">
        <f>F149/D149*100</f>
        <v>80.44102564102565</v>
      </c>
      <c r="K149" s="165"/>
      <c r="L149" s="165"/>
      <c r="M149" s="165"/>
      <c r="N149" s="165">
        <v>86.37</v>
      </c>
      <c r="O149" s="165">
        <f t="shared" si="40"/>
        <v>11.129999999999995</v>
      </c>
      <c r="P149" s="218">
        <f t="shared" si="41"/>
        <v>1.1288641889544981</v>
      </c>
      <c r="Q149" s="165">
        <v>41.15</v>
      </c>
      <c r="R149" s="165">
        <f t="shared" si="42"/>
        <v>37.28000000000001</v>
      </c>
      <c r="S149" s="218">
        <f t="shared" si="44"/>
        <v>1.9059538274605106</v>
      </c>
      <c r="T149" s="157">
        <f>E149-серпень!E137</f>
        <v>74.8</v>
      </c>
      <c r="U149" s="160">
        <f>F149-серпень!F137</f>
        <v>78.43</v>
      </c>
      <c r="V149" s="161">
        <f t="shared" si="43"/>
        <v>3.6300000000000097</v>
      </c>
      <c r="W149" s="165">
        <f>U149/T149</f>
        <v>1.048529411764706</v>
      </c>
      <c r="X149" s="363">
        <f t="shared" si="37"/>
        <v>0.7770896385060124</v>
      </c>
    </row>
    <row r="150" spans="1:24" s="6" customFormat="1" ht="46.5" hidden="1">
      <c r="A150" s="8"/>
      <c r="B150" s="352" t="s">
        <v>17</v>
      </c>
      <c r="C150" s="11" t="s">
        <v>18</v>
      </c>
      <c r="D150" s="150">
        <v>2.5</v>
      </c>
      <c r="E150" s="150">
        <v>2.5</v>
      </c>
      <c r="F150" s="156">
        <v>2.04</v>
      </c>
      <c r="G150" s="150">
        <f t="shared" si="38"/>
        <v>-0.45999999999999996</v>
      </c>
      <c r="H150" s="164">
        <f>F150/E150*100</f>
        <v>81.60000000000001</v>
      </c>
      <c r="I150" s="165">
        <f t="shared" si="39"/>
        <v>-0.45999999999999996</v>
      </c>
      <c r="J150" s="165">
        <f>F150/D150*100</f>
        <v>81.60000000000001</v>
      </c>
      <c r="K150" s="165"/>
      <c r="L150" s="165"/>
      <c r="M150" s="165"/>
      <c r="N150" s="165">
        <v>2.46</v>
      </c>
      <c r="O150" s="165">
        <f t="shared" si="40"/>
        <v>0.040000000000000036</v>
      </c>
      <c r="P150" s="218">
        <f t="shared" si="41"/>
        <v>1.016260162601626</v>
      </c>
      <c r="Q150" s="165">
        <v>2.46</v>
      </c>
      <c r="R150" s="165">
        <f t="shared" si="42"/>
        <v>-0.41999999999999993</v>
      </c>
      <c r="S150" s="218">
        <f t="shared" si="44"/>
        <v>0.8292682926829269</v>
      </c>
      <c r="T150" s="157">
        <f>E150-серпень!E138</f>
        <v>2.5</v>
      </c>
      <c r="U150" s="160">
        <f>F150-серпень!F138</f>
        <v>2.04</v>
      </c>
      <c r="V150" s="161">
        <f t="shared" si="43"/>
        <v>-0.45999999999999996</v>
      </c>
      <c r="W150" s="165"/>
      <c r="X150" s="363">
        <f t="shared" si="37"/>
        <v>-0.1869918699186992</v>
      </c>
    </row>
    <row r="151" spans="1:24" s="6" customFormat="1" ht="18" hidden="1">
      <c r="A151" s="8"/>
      <c r="B151" s="358" t="s">
        <v>44</v>
      </c>
      <c r="C151" s="43">
        <v>31010200</v>
      </c>
      <c r="D151" s="150">
        <v>15</v>
      </c>
      <c r="E151" s="150">
        <v>11.3</v>
      </c>
      <c r="F151" s="156">
        <v>34.22</v>
      </c>
      <c r="G151" s="150">
        <f t="shared" si="38"/>
        <v>22.919999999999998</v>
      </c>
      <c r="H151" s="164">
        <f>F151/E151*100</f>
        <v>302.8318584070796</v>
      </c>
      <c r="I151" s="165">
        <f t="shared" si="39"/>
        <v>19.22</v>
      </c>
      <c r="J151" s="165">
        <f>F151/D151*100</f>
        <v>228.13333333333335</v>
      </c>
      <c r="K151" s="165"/>
      <c r="L151" s="165"/>
      <c r="M151" s="165"/>
      <c r="N151" s="165">
        <v>13.52</v>
      </c>
      <c r="O151" s="165">
        <f>D151-N151</f>
        <v>1.4800000000000004</v>
      </c>
      <c r="P151" s="218">
        <f>D151/N151</f>
        <v>1.1094674556213018</v>
      </c>
      <c r="Q151" s="165">
        <v>13.52</v>
      </c>
      <c r="R151" s="165">
        <f t="shared" si="42"/>
        <v>20.7</v>
      </c>
      <c r="S151" s="218">
        <f t="shared" si="44"/>
        <v>2.5310650887573964</v>
      </c>
      <c r="T151" s="157">
        <f>E151-серпень!E139</f>
        <v>11.3</v>
      </c>
      <c r="U151" s="160">
        <f>F151-серпень!F139</f>
        <v>34.22</v>
      </c>
      <c r="V151" s="161">
        <f t="shared" si="43"/>
        <v>22.919999999999998</v>
      </c>
      <c r="W151" s="165">
        <f>U151/T151</f>
        <v>3.0283185840707962</v>
      </c>
      <c r="X151" s="363">
        <f t="shared" si="37"/>
        <v>1.4215976331360947</v>
      </c>
    </row>
    <row r="152" spans="1:24" s="6" customFormat="1" ht="30.75" hidden="1">
      <c r="A152" s="8"/>
      <c r="B152" s="358" t="s">
        <v>57</v>
      </c>
      <c r="C152" s="43">
        <v>31020000</v>
      </c>
      <c r="D152" s="150">
        <v>0</v>
      </c>
      <c r="E152" s="150">
        <v>0</v>
      </c>
      <c r="F152" s="156">
        <v>-5.17</v>
      </c>
      <c r="G152" s="150">
        <f t="shared" si="38"/>
        <v>-5.17</v>
      </c>
      <c r="H152" s="164"/>
      <c r="I152" s="165">
        <f t="shared" si="39"/>
        <v>-5.17</v>
      </c>
      <c r="J152" s="165"/>
      <c r="K152" s="165"/>
      <c r="L152" s="165"/>
      <c r="M152" s="165"/>
      <c r="N152" s="165">
        <v>7.37</v>
      </c>
      <c r="O152" s="165">
        <f>D152-N152</f>
        <v>-7.37</v>
      </c>
      <c r="P152" s="218">
        <f>D152/N152</f>
        <v>0</v>
      </c>
      <c r="Q152" s="165">
        <v>1.02</v>
      </c>
      <c r="R152" s="165">
        <f t="shared" si="42"/>
        <v>-6.1899999999999995</v>
      </c>
      <c r="S152" s="218">
        <f t="shared" si="44"/>
        <v>-5.068627450980392</v>
      </c>
      <c r="T152" s="157">
        <f>E152-серпень!E140</f>
        <v>0</v>
      </c>
      <c r="U152" s="160">
        <f>F152-серпень!F140</f>
        <v>-5.17</v>
      </c>
      <c r="V152" s="161">
        <f t="shared" si="43"/>
        <v>-5.17</v>
      </c>
      <c r="W152" s="165"/>
      <c r="X152" s="363">
        <f t="shared" si="37"/>
        <v>-5.068627450980392</v>
      </c>
    </row>
    <row r="153" spans="4:24" ht="15" hidden="1">
      <c r="D153" s="29">
        <f>D144+D145+D146+D147+D148+D149+D150+D151+D152</f>
        <v>540</v>
      </c>
      <c r="E153" s="29">
        <f>E144+E145+E146+E147+E148+E149+E150+E151+E152</f>
        <v>397.6</v>
      </c>
      <c r="F153" s="29">
        <f>F144+F145+F146+F147+F148+F149+F150+F151+F152</f>
        <v>1019.0400000000001</v>
      </c>
      <c r="G153" s="29">
        <f>F153-E153</f>
        <v>621.44</v>
      </c>
      <c r="H153" s="29">
        <f>F153/E153*100</f>
        <v>256.29778672032194</v>
      </c>
      <c r="I153" s="29">
        <f>F153-D153</f>
        <v>479.0400000000001</v>
      </c>
      <c r="J153" s="25">
        <f>F153/D153*100</f>
        <v>188.7111111111111</v>
      </c>
      <c r="N153" s="29">
        <f>N144+N145+N146+N147+N148+N149+N150+N151+N152</f>
        <v>507.73999999999995</v>
      </c>
      <c r="O153" s="29">
        <f>D153-N153</f>
        <v>32.26000000000005</v>
      </c>
      <c r="P153" s="230">
        <f>D153/N153</f>
        <v>1.063536455666286</v>
      </c>
      <c r="Q153" s="29">
        <f>Q144+Q145+Q146+Q147+Q148+Q149+Q150+Q151+Q152</f>
        <v>393.3199999999999</v>
      </c>
      <c r="R153" s="29">
        <f>F153-Q153</f>
        <v>625.7200000000003</v>
      </c>
      <c r="S153" s="230">
        <f t="shared" si="44"/>
        <v>2.5908674870334596</v>
      </c>
      <c r="X153" s="363">
        <f t="shared" si="37"/>
        <v>1.5273310313671735</v>
      </c>
    </row>
    <row r="154" ht="15" hidden="1">
      <c r="X154" s="363"/>
    </row>
    <row r="155" spans="2:24" ht="15" hidden="1">
      <c r="B155" s="284" t="s">
        <v>255</v>
      </c>
      <c r="X155" s="363"/>
    </row>
    <row r="156" spans="1:24" s="6" customFormat="1" ht="30.75" hidden="1">
      <c r="A156" s="8"/>
      <c r="B156" s="350" t="s">
        <v>105</v>
      </c>
      <c r="C156" s="49">
        <v>22010300</v>
      </c>
      <c r="D156" s="150">
        <v>730</v>
      </c>
      <c r="E156" s="150">
        <v>640</v>
      </c>
      <c r="F156" s="156">
        <v>906.99</v>
      </c>
      <c r="G156" s="150">
        <f aca="true" t="shared" si="45" ref="G156:G161">F156-E156</f>
        <v>266.99</v>
      </c>
      <c r="H156" s="164">
        <f>F156/E156*100</f>
        <v>141.7171875</v>
      </c>
      <c r="I156" s="165">
        <f aca="true" t="shared" si="46" ref="I156:I161">F156-D156</f>
        <v>176.99</v>
      </c>
      <c r="J156" s="165">
        <f>F156/D156*100</f>
        <v>124.24520547945205</v>
      </c>
      <c r="K156" s="165"/>
      <c r="L156" s="165"/>
      <c r="M156" s="165"/>
      <c r="N156" s="165">
        <v>791.33</v>
      </c>
      <c r="O156" s="165">
        <f aca="true" t="shared" si="47" ref="O156:O161">D156-N156</f>
        <v>-61.33000000000004</v>
      </c>
      <c r="P156" s="218">
        <f aca="true" t="shared" si="48" ref="P156:P161">D156/N156</f>
        <v>0.9224975673865518</v>
      </c>
      <c r="Q156" s="165">
        <v>428.63</v>
      </c>
      <c r="R156" s="165">
        <f aca="true" t="shared" si="49" ref="R156:R161">F156-Q156</f>
        <v>478.36</v>
      </c>
      <c r="S156" s="218">
        <f>F156/Q156</f>
        <v>2.1160208104892333</v>
      </c>
      <c r="T156" s="157">
        <f>E156-серпень!E144</f>
        <v>640</v>
      </c>
      <c r="U156" s="160">
        <f>F156-серпень!F144</f>
        <v>906.99</v>
      </c>
      <c r="V156" s="161">
        <f>U156-T156</f>
        <v>266.99</v>
      </c>
      <c r="W156" s="165">
        <f>U156/T156</f>
        <v>1.417171875</v>
      </c>
      <c r="X156" s="363">
        <f t="shared" si="37"/>
        <v>1.1935232431026814</v>
      </c>
    </row>
    <row r="157" spans="1:24" s="6" customFormat="1" ht="18" hidden="1">
      <c r="A157" s="8"/>
      <c r="B157" s="350" t="s">
        <v>223</v>
      </c>
      <c r="C157" s="49">
        <v>22010200</v>
      </c>
      <c r="D157" s="150">
        <v>0</v>
      </c>
      <c r="E157" s="150">
        <v>0</v>
      </c>
      <c r="F157" s="156">
        <v>23.38</v>
      </c>
      <c r="G157" s="150">
        <f t="shared" si="45"/>
        <v>23.38</v>
      </c>
      <c r="H157" s="164"/>
      <c r="I157" s="165">
        <f t="shared" si="46"/>
        <v>23.38</v>
      </c>
      <c r="J157" s="165"/>
      <c r="K157" s="165"/>
      <c r="L157" s="165"/>
      <c r="M157" s="165"/>
      <c r="N157" s="165">
        <v>0</v>
      </c>
      <c r="O157" s="165">
        <f t="shared" si="47"/>
        <v>0</v>
      </c>
      <c r="P157" s="218" t="e">
        <f t="shared" si="48"/>
        <v>#DIV/0!</v>
      </c>
      <c r="Q157" s="165"/>
      <c r="R157" s="165">
        <f t="shared" si="49"/>
        <v>23.38</v>
      </c>
      <c r="S157" s="218"/>
      <c r="T157" s="157">
        <f>E157-серпень!E145</f>
        <v>0</v>
      </c>
      <c r="U157" s="160">
        <f>F157-серпень!F145</f>
        <v>23.38</v>
      </c>
      <c r="V157" s="161">
        <f>U157-T157</f>
        <v>23.38</v>
      </c>
      <c r="W157" s="165"/>
      <c r="X157" s="363" t="e">
        <f t="shared" si="37"/>
        <v>#DIV/0!</v>
      </c>
    </row>
    <row r="158" spans="1:24" s="6" customFormat="1" ht="18" hidden="1">
      <c r="A158" s="8"/>
      <c r="B158" s="356" t="s">
        <v>78</v>
      </c>
      <c r="C158" s="72">
        <v>22012500</v>
      </c>
      <c r="D158" s="150">
        <v>11000</v>
      </c>
      <c r="E158" s="150">
        <v>8940</v>
      </c>
      <c r="F158" s="156">
        <v>14765.24</v>
      </c>
      <c r="G158" s="150">
        <f t="shared" si="45"/>
        <v>5825.24</v>
      </c>
      <c r="H158" s="164">
        <f>F158/E158*100</f>
        <v>165.1592841163311</v>
      </c>
      <c r="I158" s="165">
        <f t="shared" si="46"/>
        <v>3765.24</v>
      </c>
      <c r="J158" s="165">
        <f>F158/D158*100</f>
        <v>134.22945454545453</v>
      </c>
      <c r="K158" s="165"/>
      <c r="L158" s="165"/>
      <c r="M158" s="165"/>
      <c r="N158" s="165">
        <v>11422.5</v>
      </c>
      <c r="O158" s="165">
        <f t="shared" si="47"/>
        <v>-422.5</v>
      </c>
      <c r="P158" s="218">
        <f t="shared" si="48"/>
        <v>0.9630115999124534</v>
      </c>
      <c r="Q158" s="165">
        <v>8067.74</v>
      </c>
      <c r="R158" s="165">
        <f t="shared" si="49"/>
        <v>6697.5</v>
      </c>
      <c r="S158" s="218">
        <f>F158/Q158</f>
        <v>1.8301581359835593</v>
      </c>
      <c r="T158" s="157">
        <f>E158-серпень!E146</f>
        <v>8940</v>
      </c>
      <c r="U158" s="160">
        <f>F158-серпень!F146</f>
        <v>14765.24</v>
      </c>
      <c r="V158" s="161">
        <f>U158-T158</f>
        <v>5825.24</v>
      </c>
      <c r="W158" s="165">
        <f>U158/T158</f>
        <v>1.651592841163311</v>
      </c>
      <c r="X158" s="363">
        <f t="shared" si="37"/>
        <v>0.8671465360711058</v>
      </c>
    </row>
    <row r="159" spans="1:24" s="6" customFormat="1" ht="31.5" hidden="1">
      <c r="A159" s="8"/>
      <c r="B159" s="356" t="s">
        <v>99</v>
      </c>
      <c r="C159" s="72">
        <v>22012600</v>
      </c>
      <c r="D159" s="150">
        <v>310</v>
      </c>
      <c r="E159" s="150">
        <v>235</v>
      </c>
      <c r="F159" s="156">
        <v>438.04</v>
      </c>
      <c r="G159" s="150">
        <f t="shared" si="45"/>
        <v>203.04000000000002</v>
      </c>
      <c r="H159" s="164">
        <f>F159/E159*100</f>
        <v>186.4</v>
      </c>
      <c r="I159" s="165">
        <f t="shared" si="46"/>
        <v>128.04000000000002</v>
      </c>
      <c r="J159" s="165">
        <f>F159/D159*100</f>
        <v>141.30322580645162</v>
      </c>
      <c r="K159" s="165"/>
      <c r="L159" s="165"/>
      <c r="M159" s="165"/>
      <c r="N159" s="165">
        <v>323.25</v>
      </c>
      <c r="O159" s="165">
        <f t="shared" si="47"/>
        <v>-13.25</v>
      </c>
      <c r="P159" s="218">
        <f t="shared" si="48"/>
        <v>0.9590100541376644</v>
      </c>
      <c r="Q159" s="165">
        <v>210.12</v>
      </c>
      <c r="R159" s="165">
        <f t="shared" si="49"/>
        <v>227.92000000000002</v>
      </c>
      <c r="S159" s="218">
        <f>F159/Q159</f>
        <v>2.084713497049305</v>
      </c>
      <c r="T159" s="157">
        <f>E159-серпень!E147</f>
        <v>235</v>
      </c>
      <c r="U159" s="160">
        <f>F159-серпень!F147</f>
        <v>438.04</v>
      </c>
      <c r="V159" s="161">
        <f>U159-T159</f>
        <v>203.04000000000002</v>
      </c>
      <c r="W159" s="165">
        <f>U159/T159</f>
        <v>1.864</v>
      </c>
      <c r="X159" s="363">
        <f t="shared" si="37"/>
        <v>1.1257034429116408</v>
      </c>
    </row>
    <row r="160" spans="1:24" s="6" customFormat="1" ht="31.5" hidden="1">
      <c r="A160" s="8"/>
      <c r="B160" s="356" t="s">
        <v>106</v>
      </c>
      <c r="C160" s="72">
        <v>22012900</v>
      </c>
      <c r="D160" s="150">
        <v>20</v>
      </c>
      <c r="E160" s="150">
        <v>17</v>
      </c>
      <c r="F160" s="156">
        <v>29.28</v>
      </c>
      <c r="G160" s="150">
        <f t="shared" si="45"/>
        <v>12.280000000000001</v>
      </c>
      <c r="H160" s="164">
        <f>F160/E160*100</f>
        <v>172.23529411764707</v>
      </c>
      <c r="I160" s="165">
        <f t="shared" si="46"/>
        <v>9.280000000000001</v>
      </c>
      <c r="J160" s="165">
        <f>F160/D160*100</f>
        <v>146.4</v>
      </c>
      <c r="K160" s="165"/>
      <c r="L160" s="165"/>
      <c r="M160" s="165"/>
      <c r="N160" s="165">
        <v>22.36</v>
      </c>
      <c r="O160" s="165">
        <f t="shared" si="47"/>
        <v>-2.3599999999999994</v>
      </c>
      <c r="P160" s="218">
        <f t="shared" si="48"/>
        <v>0.8944543828264758</v>
      </c>
      <c r="Q160" s="165">
        <v>16.68</v>
      </c>
      <c r="R160" s="165">
        <f t="shared" si="49"/>
        <v>12.600000000000001</v>
      </c>
      <c r="S160" s="218">
        <f>F160/Q160</f>
        <v>1.7553956834532376</v>
      </c>
      <c r="T160" s="157">
        <f>E160-серпень!E148</f>
        <v>17</v>
      </c>
      <c r="U160" s="160">
        <f>F160-серпень!F148</f>
        <v>29.28</v>
      </c>
      <c r="V160" s="161">
        <f>U160-T160</f>
        <v>12.280000000000001</v>
      </c>
      <c r="W160" s="165">
        <f>U160/T160</f>
        <v>1.7223529411764706</v>
      </c>
      <c r="X160" s="363">
        <f t="shared" si="37"/>
        <v>0.8609413006267618</v>
      </c>
    </row>
    <row r="161" spans="4:24" ht="15" hidden="1">
      <c r="D161" s="29">
        <f>D156+D157+D158+D159+D160</f>
        <v>12060</v>
      </c>
      <c r="E161" s="29">
        <f>E156+E157+E158+E159+E160</f>
        <v>9832</v>
      </c>
      <c r="F161" s="29">
        <f>F156+F157+F158+F159+F160</f>
        <v>16162.930000000002</v>
      </c>
      <c r="G161" s="29">
        <f t="shared" si="45"/>
        <v>6330.930000000002</v>
      </c>
      <c r="H161" s="230">
        <f>F161/E161</f>
        <v>1.6439106997558994</v>
      </c>
      <c r="I161" s="29">
        <f t="shared" si="46"/>
        <v>4102.930000000002</v>
      </c>
      <c r="J161" s="230">
        <f>F161/D161</f>
        <v>1.340209784411277</v>
      </c>
      <c r="N161" s="29">
        <f>N156+N157+N158+N159+N160</f>
        <v>12559.44</v>
      </c>
      <c r="O161" s="29">
        <f t="shared" si="47"/>
        <v>-499.4400000000005</v>
      </c>
      <c r="P161" s="230">
        <f t="shared" si="48"/>
        <v>0.9602338957787927</v>
      </c>
      <c r="Q161" s="29">
        <f>Q156+Q157+Q158+Q159+Q160</f>
        <v>8723.17</v>
      </c>
      <c r="R161" s="29">
        <f t="shared" si="49"/>
        <v>7439.760000000002</v>
      </c>
      <c r="S161" s="230">
        <f>F161/Q161</f>
        <v>1.8528734393574815</v>
      </c>
      <c r="X161" s="363">
        <f t="shared" si="37"/>
        <v>0.8926395435786888</v>
      </c>
    </row>
    <row r="162" ht="15" hidden="1">
      <c r="X162" s="363"/>
    </row>
    <row r="163" ht="15" hidden="1">
      <c r="X163" s="363"/>
    </row>
    <row r="164" spans="2:24" ht="15" hidden="1">
      <c r="B164" s="284" t="s">
        <v>256</v>
      </c>
      <c r="X164" s="363"/>
    </row>
    <row r="165" spans="1:24" s="6" customFormat="1" ht="15.75" customHeight="1" hidden="1">
      <c r="A165" s="8"/>
      <c r="B165" s="357" t="s">
        <v>13</v>
      </c>
      <c r="C165" s="11" t="s">
        <v>19</v>
      </c>
      <c r="D165" s="150">
        <v>7350</v>
      </c>
      <c r="E165" s="150">
        <v>6400</v>
      </c>
      <c r="F165" s="156">
        <v>6761.56</v>
      </c>
      <c r="G165" s="150">
        <f>F165-E165</f>
        <v>361.5600000000004</v>
      </c>
      <c r="H165" s="164">
        <f>F165/E165*100</f>
        <v>105.649375</v>
      </c>
      <c r="I165" s="165">
        <f>F165-D165</f>
        <v>-588.4399999999996</v>
      </c>
      <c r="J165" s="165">
        <f>F165/D165*100</f>
        <v>91.99401360544218</v>
      </c>
      <c r="K165" s="165"/>
      <c r="L165" s="165"/>
      <c r="M165" s="165"/>
      <c r="N165" s="165">
        <v>6525.16</v>
      </c>
      <c r="O165" s="165">
        <f>D165-N165</f>
        <v>824.8400000000001</v>
      </c>
      <c r="P165" s="218">
        <f>D165/N165</f>
        <v>1.1264091608481632</v>
      </c>
      <c r="Q165" s="165">
        <v>5154.13</v>
      </c>
      <c r="R165" s="165">
        <f>F165-Q165</f>
        <v>1607.4300000000003</v>
      </c>
      <c r="S165" s="218">
        <f>F165/Q165</f>
        <v>1.3118722267385572</v>
      </c>
      <c r="T165" s="157">
        <f>E165-серпень!E153</f>
        <v>6400</v>
      </c>
      <c r="U165" s="160">
        <f>F165-серпень!F153</f>
        <v>6761.56</v>
      </c>
      <c r="V165" s="161">
        <f>U165-T165</f>
        <v>361.5600000000004</v>
      </c>
      <c r="W165" s="165">
        <f>U165/T165</f>
        <v>1.05649375</v>
      </c>
      <c r="X165" s="363">
        <f>S165-P165</f>
        <v>0.18546306589039396</v>
      </c>
    </row>
    <row r="166" spans="1:24" s="6" customFormat="1" ht="44.25" customHeight="1" hidden="1">
      <c r="A166" s="8"/>
      <c r="B166" s="357" t="s">
        <v>43</v>
      </c>
      <c r="C166" s="43">
        <v>24061900</v>
      </c>
      <c r="D166" s="150">
        <v>160</v>
      </c>
      <c r="E166" s="150">
        <v>90</v>
      </c>
      <c r="F166" s="156">
        <v>60.14</v>
      </c>
      <c r="G166" s="150">
        <f>F166-E166</f>
        <v>-29.86</v>
      </c>
      <c r="H166" s="164">
        <f>F166/E166*100</f>
        <v>66.82222222222222</v>
      </c>
      <c r="I166" s="165">
        <f>F166-D166</f>
        <v>-99.86</v>
      </c>
      <c r="J166" s="165">
        <f>F166/D166*100</f>
        <v>37.5875</v>
      </c>
      <c r="K166" s="165"/>
      <c r="L166" s="165"/>
      <c r="M166" s="165"/>
      <c r="N166" s="165">
        <v>226.72</v>
      </c>
      <c r="O166" s="165">
        <f>D166-N166</f>
        <v>-66.72</v>
      </c>
      <c r="P166" s="218">
        <f>D166/N166</f>
        <v>0.7057163020465773</v>
      </c>
      <c r="Q166" s="165">
        <v>158.93</v>
      </c>
      <c r="R166" s="165">
        <f>F166-Q166</f>
        <v>-98.79</v>
      </c>
      <c r="S166" s="218">
        <f>F166/Q166</f>
        <v>0.37840558736550683</v>
      </c>
      <c r="T166" s="157">
        <f>E166-серпень!E154</f>
        <v>90</v>
      </c>
      <c r="U166" s="160">
        <f>F166-серпень!F154</f>
        <v>60.14</v>
      </c>
      <c r="V166" s="161">
        <f>U166-T166</f>
        <v>-29.86</v>
      </c>
      <c r="W166" s="165">
        <f>U166/T166</f>
        <v>0.6682222222222223</v>
      </c>
      <c r="X166" s="363">
        <f>S166-P166</f>
        <v>-0.3273107146810705</v>
      </c>
    </row>
    <row r="167" spans="4:24" ht="15" hidden="1">
      <c r="D167" s="29">
        <f>D165+D166</f>
        <v>7510</v>
      </c>
      <c r="E167" s="29">
        <f>E165+E166</f>
        <v>6490</v>
      </c>
      <c r="F167" s="29">
        <f>F165+F166</f>
        <v>6821.700000000001</v>
      </c>
      <c r="G167" s="25">
        <f>F167-E167</f>
        <v>331.7000000000007</v>
      </c>
      <c r="H167" s="230">
        <f>F167/E167</f>
        <v>1.051109399075501</v>
      </c>
      <c r="I167" s="29">
        <f>F167-D167</f>
        <v>-688.2999999999993</v>
      </c>
      <c r="J167" s="230">
        <f>F167/D167</f>
        <v>0.9083488681757658</v>
      </c>
      <c r="N167" s="29">
        <f>N165+N166</f>
        <v>6751.88</v>
      </c>
      <c r="O167" s="29">
        <f>D167-N167</f>
        <v>758.1199999999999</v>
      </c>
      <c r="P167" s="230">
        <f>D167/N167</f>
        <v>1.112282801234619</v>
      </c>
      <c r="Q167" s="29">
        <f>Q165+Q166</f>
        <v>5313.06</v>
      </c>
      <c r="R167" s="29">
        <f>F167-Q167</f>
        <v>1508.6400000000003</v>
      </c>
      <c r="S167" s="230">
        <f>F167/Q167</f>
        <v>1.2839493625142573</v>
      </c>
      <c r="X167" s="363">
        <f>S167-P167</f>
        <v>0.1716665612796382</v>
      </c>
    </row>
    <row r="168" ht="15" hidden="1"/>
  </sheetData>
  <sheetProtection/>
  <mergeCells count="34">
    <mergeCell ref="B109:C109"/>
    <mergeCell ref="G109:H109"/>
    <mergeCell ref="G110:H110"/>
    <mergeCell ref="B111:C111"/>
    <mergeCell ref="G111:H111"/>
    <mergeCell ref="U105:V105"/>
    <mergeCell ref="G106:H106"/>
    <mergeCell ref="U106:V106"/>
    <mergeCell ref="G107:H107"/>
    <mergeCell ref="U107:V107"/>
    <mergeCell ref="U113:V113"/>
    <mergeCell ref="G108:H108"/>
    <mergeCell ref="F4:F5"/>
    <mergeCell ref="G4:G5"/>
    <mergeCell ref="H4:H5"/>
    <mergeCell ref="I4:I5"/>
    <mergeCell ref="J4:J5"/>
    <mergeCell ref="G104:J104"/>
    <mergeCell ref="U3:W3"/>
    <mergeCell ref="V4:V5"/>
    <mergeCell ref="W4:W5"/>
    <mergeCell ref="K5:M5"/>
    <mergeCell ref="N5:P5"/>
    <mergeCell ref="Q5:S5"/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</mergeCells>
  <printOptions/>
  <pageMargins left="0.31496062992125984" right="0.11811023622047245" top="0.15748031496062992" bottom="0.15748031496062992" header="0" footer="0"/>
  <pageSetup fitToHeight="1" fitToWidth="1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3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19" sqref="R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16384" width="9.125" style="4" customWidth="1"/>
  </cols>
  <sheetData>
    <row r="1" spans="1:25" s="1" customFormat="1" ht="26.25" customHeight="1">
      <c r="A1" s="462" t="s">
        <v>260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</row>
    <row r="2" spans="2:25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244</v>
      </c>
      <c r="U3" s="473" t="s">
        <v>252</v>
      </c>
      <c r="V3" s="473"/>
      <c r="W3" s="473"/>
      <c r="X3" s="473"/>
      <c r="Y3" s="473"/>
    </row>
    <row r="4" spans="1:25" ht="22.5" customHeight="1">
      <c r="A4" s="464"/>
      <c r="B4" s="466"/>
      <c r="C4" s="467"/>
      <c r="D4" s="468"/>
      <c r="E4" s="474" t="s">
        <v>249</v>
      </c>
      <c r="F4" s="456" t="s">
        <v>33</v>
      </c>
      <c r="G4" s="445" t="s">
        <v>250</v>
      </c>
      <c r="H4" s="458" t="s">
        <v>251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261</v>
      </c>
      <c r="V4" s="445" t="s">
        <v>49</v>
      </c>
      <c r="W4" s="447" t="s">
        <v>48</v>
      </c>
      <c r="X4" s="91" t="s">
        <v>64</v>
      </c>
      <c r="Y4" s="91"/>
    </row>
    <row r="5" spans="1:25" ht="77.2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77" t="s">
        <v>248</v>
      </c>
      <c r="O5" s="478"/>
      <c r="P5" s="479"/>
      <c r="Q5" s="454" t="s">
        <v>253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443"/>
      <c r="V93" s="443"/>
    </row>
    <row r="94" spans="3:22" ht="15">
      <c r="C94" s="81">
        <v>43038</v>
      </c>
      <c r="D94" s="29">
        <v>12345.6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</row>
    <row r="95" spans="3:22" ht="15.75" customHeight="1">
      <c r="C95" s="81">
        <v>43035</v>
      </c>
      <c r="D95" s="29">
        <v>10115.9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</row>
    <row r="96" spans="3:20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437" t="s">
        <v>56</v>
      </c>
      <c r="C97" s="438"/>
      <c r="D97" s="133">
        <v>0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476"/>
      <c r="V101" s="476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U101:V101"/>
    <mergeCell ref="G96:H96"/>
    <mergeCell ref="B97:C97"/>
    <mergeCell ref="G97:H97"/>
    <mergeCell ref="G98:H98"/>
    <mergeCell ref="B99:C99"/>
    <mergeCell ref="G99:H99"/>
    <mergeCell ref="G92:J92"/>
    <mergeCell ref="U93:V93"/>
    <mergeCell ref="G94:H94"/>
    <mergeCell ref="U94:V94"/>
    <mergeCell ref="G95:H95"/>
    <mergeCell ref="U95:V95"/>
    <mergeCell ref="V4:V5"/>
    <mergeCell ref="W4:W5"/>
    <mergeCell ref="K5:M5"/>
    <mergeCell ref="N5:P5"/>
    <mergeCell ref="Q5:S5"/>
    <mergeCell ref="X5:Y5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5118110236220472" right="0.11811023622047245" top="0.15748031496062992" bottom="0.15748031496062992" header="0" footer="0"/>
  <pageSetup fitToHeight="2" fitToWidth="1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97" sqref="A97:IV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62" t="s">
        <v>242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86"/>
      <c r="Y1" s="86"/>
      <c r="Z1" s="312"/>
    </row>
    <row r="2" spans="2:26" s="1" customFormat="1" ht="15.75" customHeight="1">
      <c r="B2" s="463"/>
      <c r="C2" s="463"/>
      <c r="D2" s="463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72" t="s">
        <v>239</v>
      </c>
      <c r="U3" s="473" t="s">
        <v>241</v>
      </c>
      <c r="V3" s="473"/>
      <c r="W3" s="473"/>
      <c r="X3" s="473"/>
      <c r="Y3" s="473"/>
      <c r="Z3" s="359"/>
    </row>
    <row r="4" spans="1:25" ht="22.5" customHeight="1">
      <c r="A4" s="464"/>
      <c r="B4" s="466"/>
      <c r="C4" s="467"/>
      <c r="D4" s="468"/>
      <c r="E4" s="474" t="s">
        <v>236</v>
      </c>
      <c r="F4" s="456" t="s">
        <v>33</v>
      </c>
      <c r="G4" s="445" t="s">
        <v>237</v>
      </c>
      <c r="H4" s="458" t="s">
        <v>238</v>
      </c>
      <c r="I4" s="445" t="s">
        <v>138</v>
      </c>
      <c r="J4" s="458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458"/>
      <c r="U4" s="460" t="s">
        <v>243</v>
      </c>
      <c r="V4" s="445" t="s">
        <v>49</v>
      </c>
      <c r="W4" s="447" t="s">
        <v>48</v>
      </c>
      <c r="X4" s="91" t="s">
        <v>64</v>
      </c>
      <c r="Y4" s="91"/>
    </row>
    <row r="5" spans="1:25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247</v>
      </c>
      <c r="L5" s="449"/>
      <c r="M5" s="450"/>
      <c r="N5" s="451" t="s">
        <v>248</v>
      </c>
      <c r="O5" s="452"/>
      <c r="P5" s="453"/>
      <c r="Q5" s="454" t="s">
        <v>240</v>
      </c>
      <c r="R5" s="454"/>
      <c r="S5" s="454"/>
      <c r="T5" s="459"/>
      <c r="U5" s="461"/>
      <c r="V5" s="446"/>
      <c r="W5" s="447"/>
      <c r="X5" s="480" t="s">
        <v>215</v>
      </c>
      <c r="Y5" s="481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 hidden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 hidden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 hidden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 hidden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 hidden="1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 hidden="1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 hidden="1">
      <c r="B90" s="20" t="s">
        <v>34</v>
      </c>
      <c r="U90" s="25"/>
      <c r="Z90" s="363">
        <f t="shared" si="40"/>
        <v>0</v>
      </c>
    </row>
    <row r="91" spans="2:26" ht="15" hidden="1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 hidden="1">
      <c r="B92" s="52" t="s">
        <v>53</v>
      </c>
      <c r="C92" s="29" t="e">
        <f>IF(V67&lt;0,ABS(V67/C91),0)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 hidden="1">
      <c r="B93" s="53" t="s">
        <v>55</v>
      </c>
      <c r="C93" s="81">
        <v>43007</v>
      </c>
      <c r="D93" s="29">
        <v>16930.7</v>
      </c>
      <c r="G93" s="4" t="s">
        <v>58</v>
      </c>
      <c r="U93" s="443"/>
      <c r="V93" s="443"/>
      <c r="Z93" s="363">
        <f t="shared" si="40"/>
        <v>0</v>
      </c>
    </row>
    <row r="94" spans="3:26" ht="15" hidden="1">
      <c r="C94" s="81">
        <v>43006</v>
      </c>
      <c r="D94" s="29">
        <v>10724.7</v>
      </c>
      <c r="G94" s="439"/>
      <c r="H94" s="439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443"/>
      <c r="V94" s="443"/>
      <c r="Z94" s="363">
        <f t="shared" si="40"/>
        <v>0</v>
      </c>
    </row>
    <row r="95" spans="3:26" ht="15.75" customHeight="1" hidden="1">
      <c r="C95" s="81">
        <v>43005</v>
      </c>
      <c r="D95" s="29">
        <v>4636.5</v>
      </c>
      <c r="F95" s="68"/>
      <c r="G95" s="439"/>
      <c r="H95" s="439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443"/>
      <c r="V95" s="443"/>
      <c r="Z95" s="363">
        <f t="shared" si="40"/>
        <v>0</v>
      </c>
    </row>
    <row r="96" spans="3:26" ht="15.75" customHeight="1" hidden="1">
      <c r="C96" s="81"/>
      <c r="F96" s="68"/>
      <c r="G96" s="444"/>
      <c r="H96" s="444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 hidden="1">
      <c r="B97" s="437" t="s">
        <v>56</v>
      </c>
      <c r="C97" s="438"/>
      <c r="D97" s="133">
        <v>980.44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439"/>
      <c r="H98" s="439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440" t="s">
        <v>59</v>
      </c>
      <c r="C99" s="441"/>
      <c r="D99" s="80"/>
      <c r="E99" s="51" t="s">
        <v>24</v>
      </c>
      <c r="F99" s="68"/>
      <c r="G99" s="439"/>
      <c r="H99" s="439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476"/>
      <c r="V101" s="476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  <row r="158" ht="15" hidden="1"/>
  </sheetData>
  <sheetProtection/>
  <mergeCells count="35"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  <mergeCell ref="G97:H97"/>
    <mergeCell ref="V4:V5"/>
    <mergeCell ref="W4:W5"/>
    <mergeCell ref="Q5:S5"/>
    <mergeCell ref="X5:Y5"/>
    <mergeCell ref="G92:J92"/>
    <mergeCell ref="U93:V93"/>
    <mergeCell ref="F4:F5"/>
    <mergeCell ref="G4:G5"/>
    <mergeCell ref="H4:H5"/>
    <mergeCell ref="I4:I5"/>
    <mergeCell ref="J4:J5"/>
    <mergeCell ref="U4:U5"/>
    <mergeCell ref="N5:P5"/>
    <mergeCell ref="K5:M5"/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</mergeCells>
  <printOptions/>
  <pageMargins left="0.31496062992125984" right="0.11811023622047245" top="0.15748031496062992" bottom="0.15748031496062992" header="0" footer="0"/>
  <pageSetup fitToHeight="2" fitToWidth="1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M93" sqref="M9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233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230</v>
      </c>
      <c r="O3" s="473" t="s">
        <v>235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227</v>
      </c>
      <c r="F4" s="456" t="s">
        <v>33</v>
      </c>
      <c r="G4" s="445" t="s">
        <v>228</v>
      </c>
      <c r="H4" s="458" t="s">
        <v>229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234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231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443"/>
      <c r="P93" s="443"/>
    </row>
    <row r="94" spans="3:16" ht="15">
      <c r="C94" s="81">
        <v>42977</v>
      </c>
      <c r="D94" s="29">
        <v>9672.2</v>
      </c>
      <c r="G94" s="439"/>
      <c r="H94" s="439"/>
      <c r="I94" s="118"/>
      <c r="J94" s="295"/>
      <c r="K94" s="295"/>
      <c r="L94" s="295"/>
      <c r="M94" s="295"/>
      <c r="N94" s="295"/>
      <c r="O94" s="443"/>
      <c r="P94" s="443"/>
    </row>
    <row r="95" spans="3:16" ht="15.75" customHeight="1">
      <c r="C95" s="81">
        <v>42976</v>
      </c>
      <c r="D95" s="29">
        <v>5224.7</v>
      </c>
      <c r="F95" s="68"/>
      <c r="G95" s="439"/>
      <c r="H95" s="439"/>
      <c r="I95" s="118"/>
      <c r="J95" s="296"/>
      <c r="K95" s="296"/>
      <c r="L95" s="296"/>
      <c r="M95" s="296"/>
      <c r="N95" s="296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295"/>
      <c r="K96" s="295"/>
      <c r="L96" s="295"/>
      <c r="M96" s="295"/>
      <c r="N96" s="295"/>
    </row>
    <row r="97" spans="2:14" ht="18" customHeight="1">
      <c r="B97" s="437" t="s">
        <v>56</v>
      </c>
      <c r="C97" s="438"/>
      <c r="D97" s="133">
        <v>8826.98</v>
      </c>
      <c r="E97" s="69"/>
      <c r="F97" s="125" t="s">
        <v>107</v>
      </c>
      <c r="G97" s="439"/>
      <c r="H97" s="439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B99:C99"/>
    <mergeCell ref="G99:H99"/>
    <mergeCell ref="O101:P101"/>
    <mergeCell ref="G96:H96"/>
    <mergeCell ref="B97:C97"/>
    <mergeCell ref="G97:H97"/>
    <mergeCell ref="G98:H98"/>
    <mergeCell ref="G94:H94"/>
    <mergeCell ref="O94:P94"/>
    <mergeCell ref="G95:H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88" sqref="K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62" t="s">
        <v>232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218</v>
      </c>
      <c r="O3" s="473" t="s">
        <v>220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219</v>
      </c>
      <c r="F4" s="456" t="s">
        <v>33</v>
      </c>
      <c r="G4" s="445" t="s">
        <v>221</v>
      </c>
      <c r="H4" s="458" t="s">
        <v>222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226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225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443"/>
      <c r="P93" s="443"/>
    </row>
    <row r="94" spans="3:16" ht="15">
      <c r="C94" s="81">
        <v>42944</v>
      </c>
      <c r="D94" s="29">
        <v>13586.1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42943</v>
      </c>
      <c r="D95" s="29">
        <v>6106.3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12794.02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62" t="s">
        <v>216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</row>
    <row r="2" spans="2:19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212</v>
      </c>
      <c r="O3" s="473" t="s">
        <v>213</v>
      </c>
      <c r="P3" s="473"/>
      <c r="Q3" s="473"/>
      <c r="R3" s="473"/>
      <c r="S3" s="473"/>
    </row>
    <row r="4" spans="1:19" ht="22.5" customHeight="1">
      <c r="A4" s="464"/>
      <c r="B4" s="466"/>
      <c r="C4" s="467"/>
      <c r="D4" s="468"/>
      <c r="E4" s="474" t="s">
        <v>209</v>
      </c>
      <c r="F4" s="456" t="s">
        <v>33</v>
      </c>
      <c r="G4" s="445" t="s">
        <v>210</v>
      </c>
      <c r="H4" s="458" t="s">
        <v>211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217</v>
      </c>
      <c r="P4" s="445" t="s">
        <v>49</v>
      </c>
      <c r="Q4" s="447" t="s">
        <v>48</v>
      </c>
      <c r="R4" s="91" t="s">
        <v>64</v>
      </c>
      <c r="S4" s="91"/>
    </row>
    <row r="5" spans="1:19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214</v>
      </c>
      <c r="L5" s="449"/>
      <c r="M5" s="450"/>
      <c r="N5" s="459"/>
      <c r="O5" s="461"/>
      <c r="P5" s="446"/>
      <c r="Q5" s="447"/>
      <c r="R5" s="480" t="s">
        <v>215</v>
      </c>
      <c r="S5" s="48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443"/>
      <c r="P93" s="443"/>
    </row>
    <row r="94" spans="3:16" ht="15">
      <c r="C94" s="81">
        <v>42913</v>
      </c>
      <c r="D94" s="29">
        <v>9872.9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42912</v>
      </c>
      <c r="D95" s="29">
        <v>4876.1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225.52589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476"/>
      <c r="P101" s="476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F4:F5"/>
    <mergeCell ref="G4:G5"/>
    <mergeCell ref="H4:H5"/>
    <mergeCell ref="I4:I5"/>
    <mergeCell ref="J4:J5"/>
    <mergeCell ref="O93:P93"/>
    <mergeCell ref="O3:S3"/>
    <mergeCell ref="P4:P5"/>
    <mergeCell ref="Q4:Q5"/>
    <mergeCell ref="K5:M5"/>
    <mergeCell ref="R5:S5"/>
    <mergeCell ref="G92:J92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207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201</v>
      </c>
      <c r="O3" s="473" t="s">
        <v>202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198</v>
      </c>
      <c r="F4" s="456" t="s">
        <v>33</v>
      </c>
      <c r="G4" s="445" t="s">
        <v>199</v>
      </c>
      <c r="H4" s="458" t="s">
        <v>200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208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204</v>
      </c>
      <c r="L5" s="449"/>
      <c r="M5" s="450"/>
      <c r="N5" s="459"/>
      <c r="O5" s="461"/>
      <c r="P5" s="446"/>
      <c r="Q5" s="447"/>
      <c r="R5" s="480" t="s">
        <v>203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443"/>
      <c r="P93" s="443"/>
    </row>
    <row r="94" spans="3:16" ht="15">
      <c r="C94" s="81">
        <v>42885</v>
      </c>
      <c r="D94" s="29">
        <v>10664.9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42884</v>
      </c>
      <c r="D95" s="29">
        <v>6919.44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1135.71022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62" t="s">
        <v>196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86"/>
      <c r="S1" s="86"/>
      <c r="T1" s="86"/>
      <c r="U1" s="87"/>
    </row>
    <row r="2" spans="2:21" s="1" customFormat="1" ht="15.75" customHeight="1">
      <c r="B2" s="463"/>
      <c r="C2" s="463"/>
      <c r="D2" s="463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64"/>
      <c r="B3" s="466"/>
      <c r="C3" s="467" t="s">
        <v>0</v>
      </c>
      <c r="D3" s="468" t="s">
        <v>150</v>
      </c>
      <c r="E3" s="32"/>
      <c r="F3" s="469" t="s">
        <v>26</v>
      </c>
      <c r="G3" s="470"/>
      <c r="H3" s="470"/>
      <c r="I3" s="470"/>
      <c r="J3" s="471"/>
      <c r="K3" s="83"/>
      <c r="L3" s="83"/>
      <c r="M3" s="83"/>
      <c r="N3" s="472" t="s">
        <v>191</v>
      </c>
      <c r="O3" s="473" t="s">
        <v>190</v>
      </c>
      <c r="P3" s="473"/>
      <c r="Q3" s="473"/>
      <c r="R3" s="473"/>
      <c r="S3" s="473"/>
      <c r="T3" s="473"/>
      <c r="U3" s="473"/>
    </row>
    <row r="4" spans="1:21" ht="22.5" customHeight="1">
      <c r="A4" s="464"/>
      <c r="B4" s="466"/>
      <c r="C4" s="467"/>
      <c r="D4" s="468"/>
      <c r="E4" s="474" t="s">
        <v>187</v>
      </c>
      <c r="F4" s="456" t="s">
        <v>33</v>
      </c>
      <c r="G4" s="445" t="s">
        <v>188</v>
      </c>
      <c r="H4" s="458" t="s">
        <v>189</v>
      </c>
      <c r="I4" s="445" t="s">
        <v>138</v>
      </c>
      <c r="J4" s="458" t="s">
        <v>139</v>
      </c>
      <c r="K4" s="85" t="s">
        <v>141</v>
      </c>
      <c r="L4" s="204" t="s">
        <v>113</v>
      </c>
      <c r="M4" s="90" t="s">
        <v>63</v>
      </c>
      <c r="N4" s="458"/>
      <c r="O4" s="460" t="s">
        <v>197</v>
      </c>
      <c r="P4" s="445" t="s">
        <v>49</v>
      </c>
      <c r="Q4" s="44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65"/>
      <c r="B5" s="466"/>
      <c r="C5" s="467"/>
      <c r="D5" s="468"/>
      <c r="E5" s="475"/>
      <c r="F5" s="457"/>
      <c r="G5" s="446"/>
      <c r="H5" s="459"/>
      <c r="I5" s="446"/>
      <c r="J5" s="459"/>
      <c r="K5" s="448" t="s">
        <v>192</v>
      </c>
      <c r="L5" s="449"/>
      <c r="M5" s="450"/>
      <c r="N5" s="459"/>
      <c r="O5" s="461"/>
      <c r="P5" s="446"/>
      <c r="Q5" s="447"/>
      <c r="R5" s="480" t="s">
        <v>193</v>
      </c>
      <c r="S5" s="481"/>
      <c r="T5" s="454" t="s">
        <v>194</v>
      </c>
      <c r="U5" s="454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455"/>
      <c r="H92" s="455"/>
      <c r="I92" s="455"/>
      <c r="J92" s="455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443"/>
      <c r="P93" s="443"/>
    </row>
    <row r="94" spans="3:16" ht="15">
      <c r="C94" s="81">
        <v>42852</v>
      </c>
      <c r="D94" s="29">
        <v>13266.8</v>
      </c>
      <c r="F94" s="113" t="s">
        <v>58</v>
      </c>
      <c r="G94" s="439"/>
      <c r="H94" s="439"/>
      <c r="I94" s="118"/>
      <c r="J94" s="482"/>
      <c r="K94" s="482"/>
      <c r="L94" s="482"/>
      <c r="M94" s="482"/>
      <c r="N94" s="482"/>
      <c r="O94" s="443"/>
      <c r="P94" s="443"/>
    </row>
    <row r="95" spans="3:16" ht="15.75" customHeight="1">
      <c r="C95" s="81">
        <v>42851</v>
      </c>
      <c r="D95" s="29">
        <v>6064.2</v>
      </c>
      <c r="F95" s="68"/>
      <c r="G95" s="439"/>
      <c r="H95" s="439"/>
      <c r="I95" s="118"/>
      <c r="J95" s="483"/>
      <c r="K95" s="483"/>
      <c r="L95" s="483"/>
      <c r="M95" s="483"/>
      <c r="N95" s="483"/>
      <c r="O95" s="443"/>
      <c r="P95" s="443"/>
    </row>
    <row r="96" spans="3:14" ht="15.75" customHeight="1">
      <c r="C96" s="81"/>
      <c r="F96" s="68"/>
      <c r="G96" s="444"/>
      <c r="H96" s="444"/>
      <c r="I96" s="124"/>
      <c r="J96" s="482"/>
      <c r="K96" s="482"/>
      <c r="L96" s="482"/>
      <c r="M96" s="482"/>
      <c r="N96" s="482"/>
    </row>
    <row r="97" spans="2:14" ht="18" customHeight="1">
      <c r="B97" s="437" t="s">
        <v>56</v>
      </c>
      <c r="C97" s="438"/>
      <c r="D97" s="133">
        <v>102.57358</v>
      </c>
      <c r="E97" s="69"/>
      <c r="F97" s="125" t="s">
        <v>107</v>
      </c>
      <c r="G97" s="439"/>
      <c r="H97" s="439"/>
      <c r="I97" s="126"/>
      <c r="J97" s="482"/>
      <c r="K97" s="482"/>
      <c r="L97" s="482"/>
      <c r="M97" s="482"/>
      <c r="N97" s="482"/>
    </row>
    <row r="98" spans="6:13" ht="9.75" customHeight="1" hidden="1">
      <c r="F98" s="68"/>
      <c r="G98" s="439"/>
      <c r="H98" s="439"/>
      <c r="I98" s="68"/>
      <c r="J98" s="69"/>
      <c r="K98" s="69"/>
      <c r="L98" s="69"/>
      <c r="M98" s="69"/>
    </row>
    <row r="99" spans="2:13" ht="22.5" customHeight="1" hidden="1">
      <c r="B99" s="440" t="s">
        <v>59</v>
      </c>
      <c r="C99" s="441"/>
      <c r="D99" s="80">
        <v>0</v>
      </c>
      <c r="E99" s="51" t="s">
        <v>24</v>
      </c>
      <c r="F99" s="68"/>
      <c r="G99" s="439"/>
      <c r="H99" s="439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476"/>
      <c r="P101" s="476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2017-12-22T08:03:42Z</cp:lastPrinted>
  <dcterms:created xsi:type="dcterms:W3CDTF">2003-07-28T11:27:56Z</dcterms:created>
  <dcterms:modified xsi:type="dcterms:W3CDTF">2017-12-22T12:30:30Z</dcterms:modified>
  <cp:category/>
  <cp:version/>
  <cp:contentType/>
  <cp:contentStatus/>
</cp:coreProperties>
</file>